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defaultThemeVersion="166925"/>
  <mc:AlternateContent xmlns:mc="http://schemas.openxmlformats.org/markup-compatibility/2006">
    <mc:Choice Requires="x15">
      <x15ac:absPath xmlns:x15ac="http://schemas.microsoft.com/office/spreadsheetml/2010/11/ac" url="Q:\Delivery\Projects\IAU\WandE\ED18355 Nutrient Budget Calculator Update (Theo Cox)\3 Project Delivery\2 Final Deliverable\Nutrient_Budget_Calculators_V02_2_240124\"/>
    </mc:Choice>
  </mc:AlternateContent>
  <xr:revisionPtr revIDLastSave="0" documentId="8_{F71CFB95-6B60-419E-8E54-FB2D4F0834A1}" xr6:coauthVersionLast="47" xr6:coauthVersionMax="47" xr10:uidLastSave="{00000000-0000-0000-0000-000000000000}"/>
  <workbookProtection workbookAlgorithmName="SHA-512" workbookHashValue="N/nmUErMyq+uK+vCjLJlKlb93RBkkFhpWUUMJNkLKKJk/NLEC8r38psnnfDktATQhdWSjqXigkfJkO0c24OQnw==" workbookSaltValue="29mIUxu//TDkvpPUzpBPuw==" workbookSpinCount="100000" lockStructure="1"/>
  <bookViews>
    <workbookView xWindow="-120" yWindow="-16320" windowWidth="29040" windowHeight="15840" tabRatio="801" xr2:uid="{82A04952-E2FF-4A89-87AE-39010027FF5F}"/>
  </bookViews>
  <sheets>
    <sheet name="About_the_calculator" sheetId="18" r:id="rId1"/>
    <sheet name="Nutrients_from_wastewater" sheetId="21" r:id="rId2"/>
    <sheet name="Nutrients_from_current_land_use" sheetId="8" r:id="rId3"/>
    <sheet name="Nutrients_from_future_land_use" sheetId="9" r:id="rId4"/>
    <sheet name="SuDS" sheetId="22" r:id="rId5"/>
    <sheet name="Final_nutrient_budgets" sheetId="10" r:id="rId6"/>
    <sheet name="Value_look_up_tables" sheetId="3" state="hidden"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21" l="1"/>
  <c r="B11" i="21"/>
  <c r="B15" i="21"/>
  <c r="B16" i="21"/>
  <c r="A26" i="21"/>
  <c r="A25" i="21"/>
  <c r="A24" i="21"/>
  <c r="A19" i="21"/>
  <c r="A16" i="21"/>
  <c r="A15" i="21"/>
  <c r="H91" i="3"/>
  <c r="G91" i="3"/>
  <c r="E12" i="8"/>
  <c r="E13" i="8"/>
  <c r="E14" i="8"/>
  <c r="E15" i="8"/>
  <c r="E16" i="8"/>
  <c r="E17" i="8"/>
  <c r="E18" i="8"/>
  <c r="E19" i="8"/>
  <c r="E20" i="8"/>
  <c r="E21" i="8"/>
  <c r="E22" i="8"/>
  <c r="E23" i="8"/>
  <c r="E24" i="8"/>
  <c r="E25" i="8"/>
  <c r="E26" i="8"/>
  <c r="E27" i="8"/>
  <c r="E11" i="8"/>
  <c r="A29" i="21" l="1"/>
  <c r="A28" i="21"/>
  <c r="A184" i="3" a="1"/>
  <c r="A184" i="3" s="1"/>
  <c r="I5" i="22"/>
  <c r="J5" i="22"/>
  <c r="I6" i="22"/>
  <c r="J6" i="22"/>
  <c r="I7" i="22"/>
  <c r="J7" i="22"/>
  <c r="I8" i="22"/>
  <c r="J8" i="22"/>
  <c r="I9" i="22"/>
  <c r="J9" i="22"/>
  <c r="I10" i="22"/>
  <c r="J10" i="22"/>
  <c r="I11" i="22"/>
  <c r="J11" i="22"/>
  <c r="I12" i="22"/>
  <c r="J12" i="22"/>
  <c r="I13" i="22"/>
  <c r="J13" i="22"/>
  <c r="I14" i="22"/>
  <c r="J14" i="22"/>
  <c r="I15" i="22"/>
  <c r="J15" i="22"/>
  <c r="I16" i="22"/>
  <c r="J16" i="22"/>
  <c r="I17" i="22"/>
  <c r="J17" i="22"/>
  <c r="I18" i="22"/>
  <c r="J18" i="22"/>
  <c r="I19" i="22"/>
  <c r="J19" i="22"/>
  <c r="I20" i="22"/>
  <c r="J20" i="22"/>
  <c r="I21" i="22"/>
  <c r="J21" i="22"/>
  <c r="I22" i="22"/>
  <c r="J22" i="22"/>
  <c r="I23" i="22"/>
  <c r="J23" i="22"/>
  <c r="I24" i="22"/>
  <c r="J24" i="22"/>
  <c r="I25" i="22"/>
  <c r="J25" i="22"/>
  <c r="I26" i="22"/>
  <c r="J26" i="22"/>
  <c r="I27" i="22"/>
  <c r="J27" i="22"/>
  <c r="I28" i="22"/>
  <c r="J28" i="22"/>
  <c r="K5" i="22"/>
  <c r="K6" i="22"/>
  <c r="K7" i="22"/>
  <c r="K8" i="22"/>
  <c r="K9" i="22"/>
  <c r="K10" i="22"/>
  <c r="K11" i="22"/>
  <c r="K12" i="22"/>
  <c r="K13" i="22"/>
  <c r="K14" i="22"/>
  <c r="K15" i="22"/>
  <c r="K16" i="22"/>
  <c r="K17" i="22"/>
  <c r="K18" i="22"/>
  <c r="K19" i="22"/>
  <c r="K20" i="22"/>
  <c r="K21" i="22"/>
  <c r="K22" i="22"/>
  <c r="K23" i="22"/>
  <c r="K24" i="22"/>
  <c r="K25" i="22"/>
  <c r="K26" i="22"/>
  <c r="K27" i="22"/>
  <c r="K28" i="22"/>
  <c r="K4" i="22"/>
  <c r="K29" i="22"/>
  <c r="D8" i="22"/>
  <c r="E8" i="22"/>
  <c r="D9" i="22"/>
  <c r="E9" i="22"/>
  <c r="D10" i="22"/>
  <c r="E10" i="22"/>
  <c r="D11" i="22"/>
  <c r="E11" i="22"/>
  <c r="D12" i="22"/>
  <c r="E12" i="22"/>
  <c r="D13" i="22"/>
  <c r="E13" i="22"/>
  <c r="D14" i="22"/>
  <c r="E14" i="22"/>
  <c r="D15" i="22"/>
  <c r="E15" i="22"/>
  <c r="D16" i="22"/>
  <c r="E16" i="22"/>
  <c r="D17" i="22"/>
  <c r="E17" i="22"/>
  <c r="D18" i="22"/>
  <c r="E18" i="22"/>
  <c r="D19" i="22"/>
  <c r="E19" i="22"/>
  <c r="D20" i="22"/>
  <c r="E20" i="22"/>
  <c r="D21" i="22"/>
  <c r="E21" i="22"/>
  <c r="D22" i="22"/>
  <c r="E22" i="22"/>
  <c r="D23" i="22"/>
  <c r="E23" i="22"/>
  <c r="D24" i="22"/>
  <c r="E24" i="22"/>
  <c r="D25" i="22"/>
  <c r="E25" i="22"/>
  <c r="D26" i="22"/>
  <c r="E26" i="22"/>
  <c r="D27" i="22"/>
  <c r="E27" i="22"/>
  <c r="D28" i="22"/>
  <c r="E28" i="22"/>
  <c r="E5" i="22"/>
  <c r="E6" i="22"/>
  <c r="D5" i="22"/>
  <c r="D6" i="22"/>
  <c r="E7" i="22"/>
  <c r="D7" i="22"/>
  <c r="B29" i="22" l="1"/>
  <c r="C13" i="8" l="1"/>
  <c r="D13" i="8"/>
  <c r="B20" i="21"/>
  <c r="B21" i="21" s="1"/>
  <c r="A16" i="10"/>
  <c r="A13" i="21"/>
  <c r="I10" i="3"/>
  <c r="I9" i="3"/>
  <c r="A18" i="10" l="1"/>
  <c r="A17" i="10"/>
  <c r="E6" i="3" l="1"/>
  <c r="E8" i="3"/>
  <c r="E9" i="3"/>
  <c r="E10" i="3"/>
  <c r="H97" i="3" l="1"/>
  <c r="H96" i="3"/>
  <c r="G97" i="3"/>
  <c r="G96" i="3"/>
  <c r="H95" i="3"/>
  <c r="G95" i="3"/>
  <c r="D17" i="8" l="1"/>
  <c r="C17" i="8" l="1"/>
  <c r="D7" i="9"/>
  <c r="D8" i="9"/>
  <c r="D9" i="9"/>
  <c r="D10" i="9"/>
  <c r="D11" i="9"/>
  <c r="D12" i="9"/>
  <c r="D13" i="9"/>
  <c r="C7" i="9"/>
  <c r="C8" i="9"/>
  <c r="C9" i="9"/>
  <c r="C10" i="9"/>
  <c r="C11" i="9"/>
  <c r="C12" i="9"/>
  <c r="C13" i="9"/>
  <c r="B13" i="21" l="1"/>
  <c r="B25" i="21" l="1"/>
  <c r="B22" i="21"/>
  <c r="B5" i="10" s="1"/>
  <c r="D6" i="9"/>
  <c r="F97" i="3"/>
  <c r="F96" i="3"/>
  <c r="F95" i="3"/>
  <c r="F94" i="3"/>
  <c r="F93" i="3"/>
  <c r="F92" i="3"/>
  <c r="F91" i="3"/>
  <c r="F90" i="3"/>
  <c r="K89" i="3"/>
  <c r="J89" i="3"/>
  <c r="I89" i="3"/>
  <c r="F89" i="3"/>
  <c r="K88" i="3"/>
  <c r="J88" i="3"/>
  <c r="I88" i="3"/>
  <c r="F88" i="3"/>
  <c r="K87" i="3"/>
  <c r="J87" i="3"/>
  <c r="I87" i="3"/>
  <c r="F87" i="3"/>
  <c r="K86" i="3"/>
  <c r="J86" i="3"/>
  <c r="I86" i="3"/>
  <c r="F86" i="3"/>
  <c r="K85" i="3"/>
  <c r="J85" i="3"/>
  <c r="I85" i="3"/>
  <c r="F85" i="3"/>
  <c r="K84" i="3"/>
  <c r="J84" i="3"/>
  <c r="I84" i="3"/>
  <c r="F84" i="3"/>
  <c r="K83" i="3"/>
  <c r="J83" i="3"/>
  <c r="I83" i="3"/>
  <c r="F83" i="3"/>
  <c r="K82" i="3"/>
  <c r="J82" i="3"/>
  <c r="I82" i="3"/>
  <c r="F82" i="3"/>
  <c r="K81" i="3"/>
  <c r="J81" i="3"/>
  <c r="I81" i="3"/>
  <c r="F81" i="3"/>
  <c r="K80" i="3"/>
  <c r="J80" i="3"/>
  <c r="I80" i="3"/>
  <c r="F80" i="3"/>
  <c r="K79" i="3"/>
  <c r="J79" i="3"/>
  <c r="I79" i="3"/>
  <c r="F79" i="3"/>
  <c r="K78" i="3"/>
  <c r="J78" i="3"/>
  <c r="I78" i="3"/>
  <c r="F78" i="3"/>
  <c r="K77" i="3"/>
  <c r="J77" i="3"/>
  <c r="I77" i="3"/>
  <c r="F77" i="3"/>
  <c r="K76" i="3"/>
  <c r="J76" i="3"/>
  <c r="I76" i="3"/>
  <c r="F76" i="3"/>
  <c r="K75" i="3"/>
  <c r="J75" i="3"/>
  <c r="I75" i="3"/>
  <c r="F75" i="3"/>
  <c r="K74" i="3"/>
  <c r="J74" i="3"/>
  <c r="I74" i="3"/>
  <c r="F74" i="3"/>
  <c r="K73" i="3"/>
  <c r="J73" i="3"/>
  <c r="I73" i="3"/>
  <c r="F73" i="3"/>
  <c r="K72" i="3"/>
  <c r="J72" i="3"/>
  <c r="I72" i="3"/>
  <c r="F72" i="3"/>
  <c r="K71" i="3"/>
  <c r="J71" i="3"/>
  <c r="I71" i="3"/>
  <c r="F71" i="3"/>
  <c r="K70" i="3"/>
  <c r="J70" i="3"/>
  <c r="I70" i="3"/>
  <c r="F70" i="3"/>
  <c r="K69" i="3"/>
  <c r="J69" i="3"/>
  <c r="I69" i="3"/>
  <c r="F69" i="3"/>
  <c r="K68" i="3"/>
  <c r="J68" i="3"/>
  <c r="I68" i="3"/>
  <c r="F68" i="3"/>
  <c r="K67" i="3"/>
  <c r="J67" i="3"/>
  <c r="I67" i="3"/>
  <c r="F67" i="3"/>
  <c r="K66" i="3"/>
  <c r="J66" i="3"/>
  <c r="I66" i="3"/>
  <c r="F66" i="3"/>
  <c r="K65" i="3"/>
  <c r="J65" i="3"/>
  <c r="I65" i="3"/>
  <c r="F65" i="3"/>
  <c r="K64" i="3"/>
  <c r="J64" i="3"/>
  <c r="I64" i="3"/>
  <c r="F64" i="3"/>
  <c r="K63" i="3"/>
  <c r="J63" i="3"/>
  <c r="I63" i="3"/>
  <c r="F63" i="3"/>
  <c r="K62" i="3"/>
  <c r="J62" i="3"/>
  <c r="I62" i="3"/>
  <c r="F62" i="3"/>
  <c r="K61" i="3"/>
  <c r="J61" i="3"/>
  <c r="I61" i="3"/>
  <c r="F61" i="3"/>
  <c r="K60" i="3"/>
  <c r="J60" i="3"/>
  <c r="I60" i="3"/>
  <c r="F60" i="3"/>
  <c r="K59" i="3"/>
  <c r="J59" i="3"/>
  <c r="I59" i="3"/>
  <c r="F59" i="3"/>
  <c r="K58" i="3"/>
  <c r="J58" i="3"/>
  <c r="I58" i="3"/>
  <c r="F58" i="3"/>
  <c r="K57" i="3"/>
  <c r="J57" i="3"/>
  <c r="I57" i="3"/>
  <c r="F57" i="3"/>
  <c r="K56" i="3"/>
  <c r="J56" i="3"/>
  <c r="I56" i="3"/>
  <c r="F56" i="3"/>
  <c r="K55" i="3"/>
  <c r="J55" i="3"/>
  <c r="I55" i="3"/>
  <c r="F55" i="3"/>
  <c r="M54" i="3"/>
  <c r="L54" i="3"/>
  <c r="K54" i="3"/>
  <c r="J54" i="3"/>
  <c r="I54" i="3"/>
  <c r="F54" i="3"/>
  <c r="K53" i="3"/>
  <c r="J53" i="3"/>
  <c r="I53" i="3"/>
  <c r="F53" i="3"/>
  <c r="K52" i="3"/>
  <c r="J52" i="3"/>
  <c r="I52" i="3"/>
  <c r="F52" i="3"/>
  <c r="K51" i="3"/>
  <c r="J51" i="3"/>
  <c r="I51" i="3"/>
  <c r="F51" i="3"/>
  <c r="K50" i="3"/>
  <c r="J50" i="3"/>
  <c r="I50" i="3"/>
  <c r="F50" i="3"/>
  <c r="K49" i="3"/>
  <c r="J49" i="3"/>
  <c r="I49" i="3"/>
  <c r="F49" i="3"/>
  <c r="K48" i="3"/>
  <c r="J48" i="3"/>
  <c r="I48" i="3"/>
  <c r="F48" i="3"/>
  <c r="K47" i="3"/>
  <c r="J47" i="3"/>
  <c r="I47" i="3"/>
  <c r="F47" i="3"/>
  <c r="K46" i="3"/>
  <c r="J46" i="3"/>
  <c r="I46" i="3"/>
  <c r="F46" i="3"/>
  <c r="K45" i="3"/>
  <c r="J45" i="3"/>
  <c r="I45" i="3"/>
  <c r="F45" i="3"/>
  <c r="K44" i="3"/>
  <c r="J44" i="3"/>
  <c r="I44" i="3"/>
  <c r="F44" i="3"/>
  <c r="K43" i="3"/>
  <c r="J43" i="3"/>
  <c r="I43" i="3"/>
  <c r="F43" i="3"/>
  <c r="K42" i="3"/>
  <c r="J42" i="3"/>
  <c r="I42" i="3"/>
  <c r="F42" i="3"/>
  <c r="K41" i="3"/>
  <c r="J41" i="3"/>
  <c r="I41" i="3"/>
  <c r="F41" i="3"/>
  <c r="K40" i="3"/>
  <c r="J40" i="3"/>
  <c r="I40" i="3"/>
  <c r="F40" i="3"/>
  <c r="K39" i="3"/>
  <c r="J39" i="3"/>
  <c r="I39" i="3"/>
  <c r="F39" i="3"/>
  <c r="K38" i="3"/>
  <c r="J38" i="3"/>
  <c r="I38" i="3"/>
  <c r="F38" i="3"/>
  <c r="M37" i="3"/>
  <c r="L37" i="3"/>
  <c r="K37" i="3"/>
  <c r="J37" i="3"/>
  <c r="I37" i="3"/>
  <c r="F37" i="3"/>
  <c r="K36" i="3"/>
  <c r="J36" i="3"/>
  <c r="I36" i="3"/>
  <c r="F36" i="3"/>
  <c r="K35" i="3"/>
  <c r="J35" i="3"/>
  <c r="I35" i="3"/>
  <c r="F35" i="3"/>
  <c r="K34" i="3"/>
  <c r="J34" i="3"/>
  <c r="I34" i="3"/>
  <c r="F34" i="3"/>
  <c r="K33" i="3"/>
  <c r="J33" i="3"/>
  <c r="I33" i="3"/>
  <c r="F33" i="3"/>
  <c r="M32" i="3"/>
  <c r="L32" i="3"/>
  <c r="K32" i="3"/>
  <c r="J32" i="3"/>
  <c r="I32" i="3"/>
  <c r="F32" i="3"/>
  <c r="K31" i="3"/>
  <c r="J31" i="3"/>
  <c r="I31" i="3"/>
  <c r="F31" i="3"/>
  <c r="M30" i="3"/>
  <c r="L30" i="3"/>
  <c r="K30" i="3"/>
  <c r="J30" i="3"/>
  <c r="I30" i="3"/>
  <c r="F30" i="3"/>
  <c r="K29" i="3"/>
  <c r="J29" i="3"/>
  <c r="I29" i="3"/>
  <c r="F29" i="3"/>
  <c r="K28" i="3"/>
  <c r="J28" i="3"/>
  <c r="I28" i="3"/>
  <c r="F28" i="3"/>
  <c r="M27" i="3"/>
  <c r="L27" i="3"/>
  <c r="K27" i="3"/>
  <c r="J27" i="3"/>
  <c r="I27" i="3"/>
  <c r="F27" i="3"/>
  <c r="K26" i="3"/>
  <c r="J26" i="3"/>
  <c r="I26" i="3"/>
  <c r="F26" i="3"/>
  <c r="K25" i="3"/>
  <c r="J25" i="3"/>
  <c r="I25" i="3"/>
  <c r="F25" i="3"/>
  <c r="M24" i="3"/>
  <c r="L24" i="3"/>
  <c r="K24" i="3"/>
  <c r="J24" i="3"/>
  <c r="I24" i="3"/>
  <c r="F24" i="3"/>
  <c r="K23" i="3"/>
  <c r="J23" i="3"/>
  <c r="I23" i="3"/>
  <c r="F23" i="3"/>
  <c r="K22" i="3"/>
  <c r="J22" i="3"/>
  <c r="I22" i="3"/>
  <c r="F22" i="3"/>
  <c r="K21" i="3"/>
  <c r="J21" i="3"/>
  <c r="I21" i="3"/>
  <c r="F21" i="3"/>
  <c r="M20" i="3"/>
  <c r="L20" i="3"/>
  <c r="K20" i="3"/>
  <c r="J20" i="3"/>
  <c r="I20" i="3"/>
  <c r="F20" i="3"/>
  <c r="K19" i="3"/>
  <c r="J19" i="3"/>
  <c r="I19" i="3"/>
  <c r="F19" i="3"/>
  <c r="K18" i="3"/>
  <c r="J18" i="3"/>
  <c r="I18" i="3"/>
  <c r="F18" i="3"/>
  <c r="K17" i="3"/>
  <c r="J17" i="3"/>
  <c r="I17" i="3"/>
  <c r="F17" i="3"/>
  <c r="M16" i="3"/>
  <c r="L16" i="3"/>
  <c r="K16" i="3"/>
  <c r="J16" i="3"/>
  <c r="I16" i="3"/>
  <c r="F16" i="3"/>
  <c r="C10" i="3"/>
  <c r="C9" i="3"/>
  <c r="C7" i="3"/>
  <c r="C6" i="3"/>
  <c r="C5" i="3"/>
  <c r="D5" i="9" l="1"/>
  <c r="E4" i="22" s="1"/>
  <c r="E29" i="22" s="1"/>
  <c r="B14" i="21"/>
  <c r="B23" i="21" s="1"/>
  <c r="C5" i="9"/>
  <c r="D4" i="22" s="1"/>
  <c r="C12" i="8"/>
  <c r="D11" i="8"/>
  <c r="D12" i="8"/>
  <c r="C11" i="8"/>
  <c r="A13" i="10"/>
  <c r="A14" i="21"/>
  <c r="C26" i="8"/>
  <c r="D25" i="8"/>
  <c r="D24" i="8"/>
  <c r="D16" i="8"/>
  <c r="D22" i="8"/>
  <c r="D14" i="8"/>
  <c r="D23" i="8"/>
  <c r="D15" i="8"/>
  <c r="D18" i="8"/>
  <c r="D21" i="8"/>
  <c r="D26" i="8"/>
  <c r="D20" i="8"/>
  <c r="D19" i="8"/>
  <c r="C20" i="8"/>
  <c r="D16" i="9"/>
  <c r="C17" i="9"/>
  <c r="C18" i="9"/>
  <c r="C21" i="8"/>
  <c r="D17" i="9"/>
  <c r="C14" i="8"/>
  <c r="C22" i="8"/>
  <c r="D18" i="9"/>
  <c r="C19" i="9"/>
  <c r="D19" i="9"/>
  <c r="C20" i="9"/>
  <c r="C19" i="8"/>
  <c r="C15" i="8"/>
  <c r="C23" i="8"/>
  <c r="C16" i="8"/>
  <c r="C24" i="8"/>
  <c r="D20" i="9"/>
  <c r="D15" i="9"/>
  <c r="C16" i="9"/>
  <c r="C25" i="8"/>
  <c r="C14" i="9"/>
  <c r="C15" i="9"/>
  <c r="C18" i="8"/>
  <c r="D14" i="9"/>
  <c r="C21" i="9"/>
  <c r="D27" i="8"/>
  <c r="C6" i="9"/>
  <c r="B29" i="21" l="1"/>
  <c r="B26" i="21"/>
  <c r="B28" i="21"/>
  <c r="A27" i="21" s="1"/>
  <c r="B9" i="10"/>
  <c r="J4" i="22"/>
  <c r="J29" i="22" s="1"/>
  <c r="I4" i="22"/>
  <c r="I29" i="22" s="1"/>
  <c r="D29" i="22"/>
  <c r="D21" i="9"/>
  <c r="C22" i="9"/>
  <c r="C27" i="8"/>
  <c r="D28" i="8" l="1"/>
  <c r="D22" i="9"/>
  <c r="B10" i="10" s="1"/>
  <c r="C28" i="8"/>
  <c r="B6" i="10" s="1"/>
  <c r="B17" i="10" s="1"/>
  <c r="B11" i="10" l="1"/>
  <c r="B12" i="10" s="1"/>
  <c r="B15" i="10" s="1"/>
  <c r="B7" i="10"/>
  <c r="B18" i="10" l="1"/>
  <c r="B8" i="10"/>
  <c r="B14" i="10" s="1"/>
  <c r="B22" i="9"/>
  <c r="B28" i="8"/>
  <c r="B20" i="10" l="1"/>
  <c r="A19" i="10" l="1"/>
  <c r="B21" i="10"/>
  <c r="A20" i="10" l="1"/>
  <c r="A21" i="10"/>
</calcChain>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uri="{bdbb8cdc-fa1e-496e-a857-3c3f30c029c3}">
          <xda:dynamicArrayProperties fDynamic="1" fCollapsed="0"/>
        </ext>
      </extLst>
    </bk>
  </futureMetadata>
  <futureMetadata name="XLRICHVALUE" count="1">
    <bk>
      <extLst>
        <ext uri="{3e2802c4-a4d2-4d8b-9148-e3be6c30e623}">
          <xlrd:rvb i="0"/>
        </ext>
      </extLst>
    </bk>
  </futureMetadata>
  <cellMetadata count="1">
    <bk>
      <rc t="1" v="0"/>
    </bk>
  </cellMetadata>
  <valueMetadata count="1">
    <bk>
      <rc t="2" v="0"/>
    </bk>
  </valueMetadata>
</metadata>
</file>

<file path=xl/sharedStrings.xml><?xml version="1.0" encoding="utf-8"?>
<sst xmlns="http://schemas.openxmlformats.org/spreadsheetml/2006/main" count="640" uniqueCount="254">
  <si>
    <t>Wastewater treatment works:</t>
  </si>
  <si>
    <t>Septic Tank default</t>
  </si>
  <si>
    <t>Soil drainage type:</t>
  </si>
  <si>
    <t>Within Nitrate Vulnerable Zone (NVZ):</t>
  </si>
  <si>
    <t>Existing land use type(s)</t>
  </si>
  <si>
    <t>New land use type(s)</t>
  </si>
  <si>
    <t>Table 1: Stage 1 WwTW lookup</t>
  </si>
  <si>
    <t>Discharge Site Name</t>
  </si>
  <si>
    <t>Phosphorus, Total as P (mg/l)</t>
  </si>
  <si>
    <t>Nitrogen, Total as N (mg/l)</t>
  </si>
  <si>
    <t>Phosphorus, Total as P (mg/l), permit post 2025</t>
  </si>
  <si>
    <t>Chickenhall Eastleigh WwTW</t>
  </si>
  <si>
    <t>Harestock WwTW</t>
  </si>
  <si>
    <t>Morestead WwTW</t>
  </si>
  <si>
    <t>New Alresford WwTW</t>
  </si>
  <si>
    <t>Package Treatment Plant default</t>
  </si>
  <si>
    <t>Package Treatment Plant user defined</t>
  </si>
  <si>
    <t>Septic Tank user defined</t>
  </si>
  <si>
    <t>Table 2: Stage 2 and 3 Landcover lookup</t>
  </si>
  <si>
    <t>Catchment</t>
  </si>
  <si>
    <t>Farmscoper Farm Term</t>
  </si>
  <si>
    <t>NVZ</t>
  </si>
  <si>
    <t>Climate</t>
  </si>
  <si>
    <t>Farmscoper Soil Drainage Term</t>
  </si>
  <si>
    <t>Lookup</t>
  </si>
  <si>
    <t>Phosphorus export coefficient</t>
  </si>
  <si>
    <t>Nitrogen export coefficient</t>
  </si>
  <si>
    <t>Farm Lookup</t>
  </si>
  <si>
    <t>Mean P export of farm type and climate combination</t>
  </si>
  <si>
    <t>Mean N export of farm type and climate combination</t>
  </si>
  <si>
    <t>Mean P export of farm type</t>
  </si>
  <si>
    <t>Mean N export of farm type</t>
  </si>
  <si>
    <t>Itchen</t>
  </si>
  <si>
    <t>Cereals</t>
  </si>
  <si>
    <t>700to900</t>
  </si>
  <si>
    <t>FreeDrain</t>
  </si>
  <si>
    <t>DrainedAr</t>
  </si>
  <si>
    <t>DrainedArGr</t>
  </si>
  <si>
    <t>900to1200</t>
  </si>
  <si>
    <t>General</t>
  </si>
  <si>
    <t>Horticulture</t>
  </si>
  <si>
    <t>Poultry</t>
  </si>
  <si>
    <t>Dairy</t>
  </si>
  <si>
    <t>Lowland</t>
  </si>
  <si>
    <t>Mixed</t>
  </si>
  <si>
    <t>Test Lower and Southampton Streams</t>
  </si>
  <si>
    <t>Pig</t>
  </si>
  <si>
    <t>Test Upper and Middle</t>
  </si>
  <si>
    <t>Hortic</t>
  </si>
  <si>
    <t>-</t>
  </si>
  <si>
    <t>Greenspace</t>
  </si>
  <si>
    <t>Community food growing</t>
  </si>
  <si>
    <t>Woodland</t>
  </si>
  <si>
    <t>Shrub</t>
  </si>
  <si>
    <t>Water</t>
  </si>
  <si>
    <t>Residential urban land</t>
  </si>
  <si>
    <t>Commercial/industrial urban land</t>
  </si>
  <si>
    <t>Open urban land</t>
  </si>
  <si>
    <t>Table 3: Stage 2 and 3 Rainfall / Urban Lookup</t>
  </si>
  <si>
    <t>Rainfall band</t>
  </si>
  <si>
    <t>Mid</t>
  </si>
  <si>
    <t>Farmscoper Equivalent</t>
  </si>
  <si>
    <t xml:space="preserve">P Urban Runoff Coefficient </t>
  </si>
  <si>
    <t>N Urban Runoff Coefficient (kg/ha/yr)</t>
  </si>
  <si>
    <t>Residential P export coefficient (kg/ha/yr)</t>
  </si>
  <si>
    <t>Commercial / industrial P export coefficient (kg/ha/yr)</t>
  </si>
  <si>
    <t>Open urban P export coefficient (kg/ha/yr)</t>
  </si>
  <si>
    <t>Residential N export coefficient (kg/ha/yr)</t>
  </si>
  <si>
    <t>Commercial / industrial N export coefficient (kg/ha/yr)</t>
  </si>
  <si>
    <t>Open urban N export coefficient (kg/ha/yr)</t>
  </si>
  <si>
    <t>508 - 525</t>
  </si>
  <si>
    <t>Under600</t>
  </si>
  <si>
    <t>525.1 - 550</t>
  </si>
  <si>
    <t>550.1 - 575</t>
  </si>
  <si>
    <t>575.1 - 600</t>
  </si>
  <si>
    <t>600.1 - 625</t>
  </si>
  <si>
    <t>600to700</t>
  </si>
  <si>
    <t>625.1 - 650</t>
  </si>
  <si>
    <t>650.1 - 675</t>
  </si>
  <si>
    <t>675.1 - 700</t>
  </si>
  <si>
    <t>700.1 - 750</t>
  </si>
  <si>
    <t>750.1 - 800</t>
  </si>
  <si>
    <t>800.1 - 850</t>
  </si>
  <si>
    <t>850.1 - 900</t>
  </si>
  <si>
    <t>900.1 - 950</t>
  </si>
  <si>
    <t>950.1 - 1,000</t>
  </si>
  <si>
    <t>1,000.1 - 1,100</t>
  </si>
  <si>
    <t>1,100.1 - 1,200</t>
  </si>
  <si>
    <t>1,200.1 - 1,400</t>
  </si>
  <si>
    <t>1200to1500</t>
  </si>
  <si>
    <t>1,400.1 - 1,600</t>
  </si>
  <si>
    <t>1,600.1 - 2,000</t>
  </si>
  <si>
    <t>Over1500</t>
  </si>
  <si>
    <t>2,000.1 - 2,400</t>
  </si>
  <si>
    <t>2,400.1 - 3,000</t>
  </si>
  <si>
    <t>3,000.1 - 4,000</t>
  </si>
  <si>
    <t>4,000.1 - 5,500</t>
  </si>
  <si>
    <t>Table 4: Stage 2 and 3 Catchment Lookup</t>
  </si>
  <si>
    <t>Table 7: Stage 2 and 3 Landcovers</t>
  </si>
  <si>
    <t>Table 8: Stage 2 and 3 Landcover lookup</t>
  </si>
  <si>
    <t>Operational Catchment</t>
  </si>
  <si>
    <t>Farmscoper equivalent</t>
  </si>
  <si>
    <t>All Possible Landcover Types</t>
  </si>
  <si>
    <t>Itchen Specific Landcover Types</t>
  </si>
  <si>
    <t>Table 5: Stage 2 and 3 Soil Drainage Lookup</t>
  </si>
  <si>
    <t>Soilscape drainage term</t>
  </si>
  <si>
    <t>Farmscoper term</t>
  </si>
  <si>
    <t>Definition</t>
  </si>
  <si>
    <t>Freely draining</t>
  </si>
  <si>
    <t>Free Draining</t>
  </si>
  <si>
    <t>Slightly impeded drainage</t>
  </si>
  <si>
    <t>Drained for arable</t>
  </si>
  <si>
    <t>LFA</t>
  </si>
  <si>
    <t>Impeded drainage</t>
  </si>
  <si>
    <t>Drained for arable and grassland</t>
  </si>
  <si>
    <t>Variable</t>
  </si>
  <si>
    <t>Surface Wetness</t>
  </si>
  <si>
    <t>Naturally wet</t>
  </si>
  <si>
    <t>Table 6: Stage 2 and 3 NVZ Lookup</t>
  </si>
  <si>
    <t>Yes</t>
  </si>
  <si>
    <t>No</t>
  </si>
  <si>
    <t>Nitrogen, Total as N (mg/l), permit post 2025</t>
  </si>
  <si>
    <t>Nitrogen Total as N (mg/l) with deductible acceptable loading</t>
  </si>
  <si>
    <t>Nitrogen Total as N (mg/l), permit post 2025 with deductible acceptable loading</t>
  </si>
  <si>
    <t xml:space="preserve">Include deductible acceptable loading? </t>
  </si>
  <si>
    <t>Table of contents</t>
  </si>
  <si>
    <t>Topic of each table</t>
  </si>
  <si>
    <t>Link to each worksheet</t>
  </si>
  <si>
    <t>Nutrients from wastewater</t>
  </si>
  <si>
    <t>Nutrients from current land use</t>
  </si>
  <si>
    <t>Nutrients from future land use</t>
  </si>
  <si>
    <t>Natural England Nutrient Neutrality budget calculator for the River Itchen SAC</t>
  </si>
  <si>
    <t xml:space="preserve">This tool provides a step-by-step approach to calculating the nutrient budget for a new residential development.  </t>
  </si>
  <si>
    <t xml:space="preserve">The values already included in this tool have been chosen based on research to determine suitable inputs to the nutrient budget that meet the HRA tests of beyond reasonable scientific doubt, in perpetuity (practically speaking this is 80-125 years) and in accordance with the precautionary principle. </t>
  </si>
  <si>
    <t xml:space="preserve">If editing any values in this tool, you must make sure there is a sufficient evidence base to justify these changes and that the new inputs are selected in accordance with the precautionary principle.  </t>
  </si>
  <si>
    <t>The required details and instructions for completing each stage of the nutrient budget methodology are shown in cell A2 of each worksheet.</t>
  </si>
  <si>
    <t>If it is uncertain what WwTW the development will drain into, please find this information from your sewerage company before completing the calculator. If it is not feasible to connect to a WwTW and a septic tank or package treatment plant is being used, please select this option. Please be aware that if the total nitrogen (TN) or total phosphorus (TP) final effluent concentrations (in mg/l) are specified by the manufacturer, please select 'Septic Tank user defined' or 'Package Treatment Plant user defined' and enter the manufacturer specified value in the cell where prompted.</t>
  </si>
  <si>
    <t>Water usage (litres/person/day):</t>
  </si>
  <si>
    <t>Development Proposal (dwellings/units):</t>
  </si>
  <si>
    <t>Annual average rainfall (mm):</t>
  </si>
  <si>
    <t>Area (ha)</t>
  </si>
  <si>
    <t>Date of first occupancy (dd/mm/yyyy):</t>
  </si>
  <si>
    <t>Water infrastructure information</t>
  </si>
  <si>
    <t>Final calculation of nutrient load from wastewater</t>
  </si>
  <si>
    <t>Current land use information</t>
  </si>
  <si>
    <t>Total nutrient budget calculations</t>
  </si>
  <si>
    <t>Final nutrient budgets</t>
  </si>
  <si>
    <t>Annual phosphorus nutrient export 
(kg TP/yr)</t>
  </si>
  <si>
    <t>Annual nitrogen nutrient export
(kg TN/yr)</t>
  </si>
  <si>
    <t>Notes about the final nutrient budgets</t>
  </si>
  <si>
    <t>Phosphorus, Total as P (mg/l), permit post 2030</t>
  </si>
  <si>
    <t>Nitrogen, Total as N (mg/l), permit post 2030</t>
  </si>
  <si>
    <t>Nitrogen Total as N (mg/l), permit post 2030 with deductible acceptable loading</t>
  </si>
  <si>
    <t>SuDS</t>
  </si>
  <si>
    <t>Final_nutrient_budgets</t>
  </si>
  <si>
    <t>Nutrients from future land use after SuDS treatment</t>
  </si>
  <si>
    <t xml:space="preserve">Before a nutrient budget can be completed using the methodology, certain site-specific details for the development site in question need to be determined.  </t>
  </si>
  <si>
    <t>General information about the calculator</t>
  </si>
  <si>
    <t>This tool uses a set of lookup tables to find relevant values in a hidden spreadsheet titled the 'Value_look_up_tables' worksheet.</t>
  </si>
  <si>
    <t>Additional population (people):</t>
  </si>
  <si>
    <t>Wastewater by development (litres/day):</t>
  </si>
  <si>
    <t>Annual wastewater TP load (kg TP/yr):</t>
  </si>
  <si>
    <t>Annual wastewater TN load (kg TN/yr):</t>
  </si>
  <si>
    <t>The date of first occupancy is required because some wastewater treatment works (WwTW) may be due an upgrade in 2025 or 2030 which will change the nutrient concentration permit values. This will be shown through two or three values for the permits and nutrients load from before and after the upgrade.</t>
  </si>
  <si>
    <t xml:space="preserve">This sheet contains two tables. </t>
  </si>
  <si>
    <t>Sources of information required for nutrients from current land use worksheet</t>
  </si>
  <si>
    <t>Whether the development is located within a Nitrate Vulnerable Zone (NVZ) can be found using the UK Soil Observatory 'Nitrate Vulnerable Zones - England' map</t>
  </si>
  <si>
    <t>Link</t>
  </si>
  <si>
    <t>Description of values generated</t>
  </si>
  <si>
    <t>Values generated</t>
  </si>
  <si>
    <t>Description of the information:</t>
  </si>
  <si>
    <t>If there are two or three values due to changing permits, the calculator will show the total amount of nutrient mitigation that is needed before and after the changing permit date.</t>
  </si>
  <si>
    <t>Environment Agency Catchment Data Explorer</t>
  </si>
  <si>
    <t>Soilscapes</t>
  </si>
  <si>
    <t>National River Flow Archive</t>
  </si>
  <si>
    <t>UK Soil Observatory</t>
  </si>
  <si>
    <t>Description of required information</t>
  </si>
  <si>
    <t>Data entry column</t>
  </si>
  <si>
    <t>Additional data entry column</t>
  </si>
  <si>
    <t>The nutrient budget for a site is calculated in four key stages with an additional optional stage in which information about the SuDS features on the site can be entered. Each stage is implemented in worksheets 1-5 of this workbook.</t>
  </si>
  <si>
    <t>The amount of wastewater generated as a result of the population needs to be calculated using an average occupancy rate, a per capita water usage figure, and the number of new developments. The default water usage value is preset in the worksheet. The default setting for the average occupancy rate is preset in the worksheet and is the national occupancy rate of 2.4 people per dwelling/unit. Only change this value if there is sufficient evidence that the development will be different to the national average. The number of new developments is not preset and must be a whole number.</t>
  </si>
  <si>
    <t>This worksheet contains two tables that are used for calculating the annual nutrient load from existing (pre development) land use on the development site. Environmental information about the current site is required for the first table. The second table requires the user to input the existing type(s) and area(s) of landcover present in order to generate nutrient loads associated with the current landcovers on the site. Only landcovers for the land that is being altered by the development should be entered.</t>
  </si>
  <si>
    <t>The type(s) of landcover present on the new development site can be selected from a list of eight different landcover types: greenspace, woodland, shrub, water, residential urban land, commercial/industrial urban land, open urban land and community food growing. Please find out what landcover types will be within the development site before completing this tool. If there is a landcover within the development site that is not in the list please select the most similar landcover type.</t>
  </si>
  <si>
    <t>Data entry Column</t>
  </si>
  <si>
    <t>Notes on data</t>
  </si>
  <si>
    <t>Annual phosphorus nutrient export  
(kg TP/yr)</t>
  </si>
  <si>
    <t>Annual nitrogen nutrient export  
(kg TN/yr)</t>
  </si>
  <si>
    <t>TP removal rate for features - user specified (%)</t>
  </si>
  <si>
    <t>TN removal rate for features - user specified (%)</t>
  </si>
  <si>
    <t>Net land use TP change (kg TP/year):</t>
  </si>
  <si>
    <t>P budget (kg TP/year):</t>
  </si>
  <si>
    <t>P budget + 20% buffer (kg TP/year):</t>
  </si>
  <si>
    <t>Wastewater TP load (kg TP/year):</t>
  </si>
  <si>
    <t>Wastewater TN load (kg TN/year):</t>
  </si>
  <si>
    <t>Net land use TN change (kg TN/year):</t>
  </si>
  <si>
    <t>TN budget:</t>
  </si>
  <si>
    <t>TN budget + 20% buffer:</t>
  </si>
  <si>
    <t>The total annual phosphorus load to mitigate is (kg TP/yr):</t>
  </si>
  <si>
    <t>The total annual nitrogen load to mitigate is (kg TN/yr):</t>
  </si>
  <si>
    <t>You can move between worksheets using the tabs at the bottom of the page.</t>
  </si>
  <si>
    <t>This is the instructions sheet. It contains instructions on how to use the tool and provides an overview of each worksheet. This worksheet contains two tables.</t>
  </si>
  <si>
    <t>Current land uses</t>
  </si>
  <si>
    <t>Future land uses</t>
  </si>
  <si>
    <t>Future Landcovers</t>
  </si>
  <si>
    <t>New land use type(s) within SuDS catchment area</t>
  </si>
  <si>
    <t>SuDS catchment area (ha)</t>
  </si>
  <si>
    <t>Totals:</t>
  </si>
  <si>
    <t>Annual phosphorus inputs to SuDS feature(s)
(kg TP/yr)</t>
  </si>
  <si>
    <t>Annual nitrogen inputs to SuDS feature(s)
(kg TN/yr)</t>
  </si>
  <si>
    <t>Name of SuDS feature(s)</t>
  </si>
  <si>
    <t>Annual nitrogen load removed by SuDS
(kg TP/yr)</t>
  </si>
  <si>
    <t>Annual phosphorus load removed by SuDS
(kg TP/yr)</t>
  </si>
  <si>
    <t>Notes about the nutrients from future land use worksheet</t>
  </si>
  <si>
    <t>Notes about the nutrients from current land use worksheet</t>
  </si>
  <si>
    <t>Notes about the nutrients from wastewater worksheet</t>
  </si>
  <si>
    <t xml:space="preserve">This worksheet contains one table in which the user can enter key information about the use of SuDS to treat the runoff from the site and reduce the nutrient loading from future land uses. </t>
  </si>
  <si>
    <t>Percentage of flow entering the SuDS (%)</t>
  </si>
  <si>
    <t>Table 9: New landcovers</t>
  </si>
  <si>
    <t>This sheet contains nine tables. A blank row seperates the end of each table from the header for the next table.</t>
  </si>
  <si>
    <t>Current wastewater treatment works P permit (mg TP/litre):</t>
  </si>
  <si>
    <t>Current wastewater treatment works N permit (mg TN/litre):</t>
  </si>
  <si>
    <t>This tool contains six worksheets with nine tables in total, as well as an additional worksheet hidden from the user.</t>
  </si>
  <si>
    <t>If you use screen reading software, you can use 'Ctrl' + 'Page Down' keys to move between the tabs.</t>
  </si>
  <si>
    <t>If you use a keyboard only, to open any link in this form first select the cell with the link and then press the 'Shift' + 'F10' keys or the 'Fn' + the 'Menu' keys (both have a similar effect to a right click), then press the letter 'O' twice to highlight 'Open Hyperlink' and press 'Enter'.</t>
  </si>
  <si>
    <t>If you use a keyboard only, any drop-down lists can be accessed by clicking the dropdown arrow or pressing the 'Alt' + 'Down' keys when the cell is selected.</t>
  </si>
  <si>
    <t>Worksheet 1 (Nutrients_from_wastewater): Nutrient loading from additional wastewater</t>
  </si>
  <si>
    <t>Worksheet 2 (Nutrients_from_current_land_use): Nutrient loading from current land use</t>
  </si>
  <si>
    <t>Worksheet 3 (Nutrients_from_future_land_use): Nutrient loading from future land use</t>
  </si>
  <si>
    <t>Worksheet 4 (SuDS): Nutrient loading from future land use after treatment through a sustainable urban drainage system (SuDS)</t>
  </si>
  <si>
    <t>Worksheet 5 (Final_nutrient_budgets): Nutrient budget calculations</t>
  </si>
  <si>
    <t>The total nutrient budget is calculated automatically by adding the values from the 'Nutrients_from_wastewater' and the outputs from the  'Nutrients_from_future_land_use' minus the 'SuDS' (if applicable), and then subtracting the values from the 'Nutrients_from_current_land_use', then adding a 20% precautionary buffer to the result. This calculation is completed in the 'Final_nutrient_budgets' worksheet.</t>
  </si>
  <si>
    <t>There is a guidance webpage that accompanies this calculator and provides further information on the user inputs required.</t>
  </si>
  <si>
    <t xml:space="preserve">It is advisable to retain a blank copy of this workbook and 'Save As' a new copy each time you calculate a budget to minimise the risk of using incorrect data inputs and to ease the calculation of new nutrient budgets. </t>
  </si>
  <si>
    <t>The first table titled 'Table_3_Water_Infrastructure' under the heading 'Water infrastructure information' allows the user to enter key information about the wastewater generated and water infrastructure on the site. This table contains a mix of user specified values and values that are calculated automatically depending on the user selected inputs.</t>
  </si>
  <si>
    <t>The second table titled 'Table_4_Wastewater_Load' under the heading 'Final calculation of nutrient load from wastewater' contains the calculation of the nutrient load from additional wastewater. This table may present up to three different values for the nutrient load.</t>
  </si>
  <si>
    <t>The drop-down list of landcover types contains up to eight agricultural landcover types and eight different non-agricultural landcover types. The full list of landcovers can be found in the associated guidance webpage or in the drop-down list. Please find out what landcover types are within the development before completing this tool. If there is a landcover within the development area that is not in the list please select the most similar landcover type.</t>
  </si>
  <si>
    <t>The guidance webpage that accompanies this calculator provides further information about the landcover types used in this tool.</t>
  </si>
  <si>
    <t>The Operational Catchment within which the development is located can be found using the Environment Agency Catchment Data Explorer</t>
  </si>
  <si>
    <t>The drainage associated with the predominant soil type within the development site can be found using the Soilscapes Map</t>
  </si>
  <si>
    <t>The annual average rainfall that the development will receive can be found using the National River Flow Archive for the '42023 - Itchen at Riverside Park' station</t>
  </si>
  <si>
    <t xml:space="preserve">This worksheet contains a single table which is used to calculate the annual nutrient load from new (post-development) land use on the development site. The type(s) and area(s) of landcover present on the new development is required to generate nutrient loads associated with the current landcovers on the site. </t>
  </si>
  <si>
    <t>Notes about the SuDS worksheet</t>
  </si>
  <si>
    <t>The table allows the user to enter the SuDS features or SuDS management trains that are proposed to treat the nutrient loading from future land uses. The land covers within the SuDS catchment area and the areas of these landcovers can be entered. Only landcovers entered into the 'Nutrients_from_future_land_use' worksheet can be selected. The nutrient loads associated with these landcovers are automatically calculated using the values from the worksheet 'Nutrient_loading_from_future_land_use'. The user must enter the percentage of flow that will be directed through the SuDS. Any numerical value less than or equal to 100% can be entered for the percentage of flow. Any numerical value less than or equal to 100% can be entered for the removal rates. The user can enter any text for the SuDS feature to allow for variability in the names of the SuDS features / management trains planned. Any numerical value less than or equal to 100% can be entered for the removal rates. However, the user will be required to present all evidence of these removal rates to the competent authority. As such, the most up to date SuDS guidance on SuDS for nutrient removal should be followed.</t>
  </si>
  <si>
    <t>This final stage automatically calculates the results from worksheets 1-5 using the equation described in 'General information about the calculator'.</t>
  </si>
  <si>
    <t>The value(s) shown represent the nutrient mitigation required in kilograms per year to achieve nutrient neutrality.</t>
  </si>
  <si>
    <t>Each worksheet is connected through a set of formulas which calculate the nutrient budget. As such, all sheets which represent the four key stages require data inputs in order to calculate the nutrient budget.</t>
  </si>
  <si>
    <t>Average occupancy rate (people/dwelling or people/unit):</t>
  </si>
  <si>
    <t xml:space="preserve">This sheet contains two tables. The tables are seperated by a heading in the 'Headings 2' style, which describe the following table. The first table 'Table_5_Site_Information' requires user inputs in cells B5 to B8. The second table 'Table_6_Current_Land_Uses' requires user inputs in cells A11 to A27 and B11 to B27. The remaining columns are automatically calculated. The final Column (Column E) titled 'Notes on data' will remain empty unless the data automatically generated data has been extrapolated.
You can choose the Operational Catchment the site is located within from the drop-down list in cell B5. The drop-down lists can be accessed by clicking the arrow or pressing the 'Alt' + 'Down' keys when the cell is selected.
You can choose the soil drainage type associated with the predominant soil type within the development site from the drop-down list in cell B6. 
You can choose the annual average rainfall the development will receive from the drop-down list in cell B7. If the rainfall volume is not on the list, please select the nearest value.
You can choose whether the development is in a Nitrate Vulnerable Zone (NVZ) from the drop-down list in cell B8. 
You can choose the existing (pre-development) land use type(s) from the drop-down list in cells A11-A27. You can enter the area(s) (in hectares) of each land use type in cells B11-B27.
The nutrient load from current land uses is shown in cell C11-C27 for TP and D11-D27 for TN. 
The total nutrient load from current land uses is shown in cell C28 for TP and D28 for TN.
</t>
  </si>
  <si>
    <t>Operational Catchment:</t>
  </si>
  <si>
    <t xml:space="preserve">This sheet contains one table. The table 'Table_7_Future_Land_Uses' requires user inputs in cells A5 to A21 and B5 to B21. The remaining columns are automatically calculated.
You can choose the future (post-development) land use type(s) of landcover present on the new site from the drop-down list in cells A5-A21. The drop-down lists can be accessed by clicking the arrow or pressing the 'Alt' + 'Down' keys when the cell is selected.
You can enter the area(s) (in hectares) of each land use type in cells B5-B21.
The nutrient load from future land uses is shown in cell C5-C21 for TP and D5-D21 for TN. 
The total nutrient load from future land uses is shown in cell C22 for TP and D22 for TN. </t>
  </si>
  <si>
    <t>This sheet contains one table. 'Table_8_SuDS_Features' requires user inputs in cells A4 to C28 and F4 to H28 if the user is including SuDS to remove nutrients from the surface runoff. The remaining columns are automatically calculated.
You can choose the future (post-development) land use type(s) of landcover present on the new site within the SuDS catchment area from the drop-down list in cells A4-A28. Only landcovers entered into the worksheet titled 'Nutrient_from_Future_Land_use' can be entered. The drop-down lists can be accessed by clicking the arrow or pressing the 'Alt' + 'Down' keys when the cell is selected.
You can enter the area(s) (in hectares) of each new land use type within the SuDS catchment area in cells B4-B28.
The percentage of the flow entering the SuDS feature can be entered in Column C4-C28. If all flow is being diverted to the SuDS feature then this value should be set to 100%.
The annual TP and TN loads associated with the landcovers in the SuDS catchment area are automatically calculated in cells D4-D28 and E4-E28, respectively.
The name of the SuDS features used to intercept surface flows can be entered in F4-F28. Any text can be entered into these cells.
The nutrient removal rates associated with the SuDS features can be entered into G4-G28 and H4-H28 for TP and TN, respectively. These values must be identified by the user and must be specific to the SuDS features being implemented.
The annual TP and TN loads removed by the SuDS features are automatically calculated in cells I4-I28 and J4-J28, respectively. These values are subtracted from the nutrient budget.
The 'Notes on data' column (Column K) does not require user inputs. This cell will be blank unless the cumulative area of each landcover within the SuDS catchment area exceeds the area of the landcovers entered into the worksheet titled 'Nutrients_from_future_land_use'.
The total nutrient load removed through the SuDS features is shown in cell I29 for TP and J29 for TN.</t>
  </si>
  <si>
    <t>This worksheet contains one table 'Table_9_Final_Nutrient_Budgets'. This table is automatically populated using the outputs from the previous worksheets. It presents calculations that underpin the final annual nutrient budget for the development site. If applicable, up to three values for the nutrient budget may be presented in cells B14, B17 and B20 for TP, or B15, B18 and B21 for TN. Some cells may be empty if there are no changing permits.</t>
  </si>
  <si>
    <t>This sheet contains two tables. The tables are seperated by a heading in the 'Headings 2' style, which describes the following table. The first table 'Table_3_Water_Infrastructure' may contain blank cells in rows 13 to 16 and column C. User inputs are required for cells B5 to B10. In addition, user inputs are required in C11 and C12 depending on the information entered by the user. The second table 'Table_4_Wastewater_Load' may contain blank cells in rows 24 to 29. No user inputs are required in this table.
You can enter the average occupancy rate of the development in cell B6. The default rate is 2.4, this should not be edited without sufficient evidence.
You can enter the water usage in cell B7. This value should be kept at 120 unless other efficiency measures are used.
You can enter the total number of dwellings/units that will be within the development site as of the project completion date in cell B8.
You can choose whether the catchment of the proposed development can apply deductible acceptable loading from the drop-down list in cell B9.
You can choose the receiving WwTW from the drop-down list in cell B10. The drop-down lists can be accessed by clicking the arrow or pressing the 'Alt' + 'Down' keys when the cell is selected. If the user selects 'Package Treatment Plant user defined' or 'Septic Tank user defined', the user must enter their certified value of TP in cell C11 or TN in cell C12. Otherwise the default values will be used in the calculation of the nutrient load associated with wastewater. 
Nutrient permits may be changing for the WwTW selected by the user as of 01/01/2025, or 01/04/2030. If the date of first occupancy is in-between changing permit dates, multiple permit limits may be automatically generated in cell B11 to B16. If applicable, up to three values for the nutrient loading associated with wastewater will be calculated for the loading will be presented in cell B22, B23, B25, B26, B28 or B29.</t>
  </si>
  <si>
    <t xml:space="preserve">If a nutrient permit is changing for the selected WwTW as of 01/01/2025, or 01/04/2030, the second table will be broken down into up to three parts: 'Post-2030 Stage 1 Nutrient Loading',  'Pre-2030 Stage 1 Nutrient Loading', and  'Pre-2025 Stage 1 Nutrient Loading'. If applicable, three nutrient budgets will be calculated for the loading before and after the 2030 and 2025 WwTW permit upgrades, and will be presented in cells B22, B23, B25, B26, B28 or B29 if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</si>
</sst>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Calibri"/>
      <family val="2"/>
      <scheme val="minor"/>
    </font>
    <font>
      <u/>
      <sz val="11"/>
      <color theme="10"/>
      <name val="Calibri"/>
      <family val="2"/>
      <scheme val="minor"/>
    </font>
    <font>
      <b/>
      <sz val="12"/>
      <color theme="1"/>
      <name val="Arial"/>
      <family val="2"/>
    </font>
    <font>
      <sz val="8"/>
      <name val="Calibri"/>
      <family val="2"/>
      <scheme val="minor"/>
    </font>
    <font>
      <sz val="12"/>
      <name val="Arial"/>
      <family val="2"/>
    </font>
    <font>
      <b/>
      <sz val="12"/>
      <name val="Arial"/>
      <family val="2"/>
    </font>
    <font>
      <sz val="12"/>
      <color theme="1"/>
      <name val="Arial"/>
      <family val="2"/>
    </font>
    <font>
      <u/>
      <sz val="12"/>
      <color theme="10"/>
      <name val="Arial"/>
      <family val="2"/>
    </font>
    <font>
      <b/>
      <sz val="18"/>
      <name val="Arial"/>
      <family val="2"/>
    </font>
    <font>
      <b/>
      <sz val="14"/>
      <name val="Arial"/>
      <family val="2"/>
    </font>
    <font>
      <b/>
      <sz val="12"/>
      <color theme="0"/>
      <name val="Arial"/>
      <family val="2"/>
    </font>
    <font>
      <u/>
      <sz val="12"/>
      <name val="Arial"/>
      <family val="2"/>
    </font>
    <font>
      <sz val="12"/>
      <color rgb="FF000000"/>
      <name val="Arial"/>
      <family val="2"/>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rgb="FFE2EFDA"/>
        <bgColor indexed="64"/>
      </patternFill>
    </fill>
  </fills>
  <borders count="25">
    <border>
      <left/>
      <right/>
      <top/>
      <bottom/>
      <diagonal/>
    </border>
    <border>
      <left style="thick">
        <color rgb="FF449669"/>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ck">
        <color theme="4" tint="0.499984740745262"/>
      </bottom>
      <diagonal/>
    </border>
    <border>
      <left/>
      <right style="thin">
        <color auto="1"/>
      </right>
      <top style="thin">
        <color auto="1"/>
      </top>
      <bottom style="thin">
        <color auto="1"/>
      </bottom>
      <diagonal/>
    </border>
    <border>
      <left/>
      <right/>
      <top/>
      <bottom style="thin">
        <color theme="0" tint="-0.14999847407452621"/>
      </bottom>
      <diagonal/>
    </border>
    <border>
      <left style="thin">
        <color auto="1"/>
      </left>
      <right/>
      <top/>
      <bottom style="thin">
        <color indexed="64"/>
      </bottom>
      <diagonal/>
    </border>
    <border>
      <left/>
      <right style="thin">
        <color auto="1"/>
      </right>
      <top/>
      <bottom style="thin">
        <color auto="1"/>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theme="1"/>
      </left>
      <right style="thin">
        <color theme="1"/>
      </right>
      <top/>
      <bottom style="thin">
        <color theme="1"/>
      </bottom>
      <diagonal/>
    </border>
    <border>
      <left/>
      <right/>
      <top style="thin">
        <color indexed="64"/>
      </top>
      <bottom/>
      <diagonal/>
    </border>
    <border>
      <left/>
      <right/>
      <top style="thin">
        <color theme="1"/>
      </top>
      <bottom/>
      <diagonal/>
    </border>
    <border>
      <left style="thin">
        <color indexed="64"/>
      </left>
      <right/>
      <top/>
      <bottom style="thin">
        <color theme="1"/>
      </bottom>
      <diagonal/>
    </border>
    <border>
      <left style="thin">
        <color auto="1"/>
      </left>
      <right style="thin">
        <color auto="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auto="1"/>
      </top>
      <bottom/>
      <diagonal/>
    </border>
    <border>
      <left style="thin">
        <color indexed="64"/>
      </left>
      <right style="thin">
        <color indexed="64"/>
      </right>
      <top/>
      <bottom style="thin">
        <color indexed="64"/>
      </bottom>
      <diagonal/>
    </border>
    <border>
      <left/>
      <right style="thin">
        <color theme="0" tint="-0.14999847407452621"/>
      </right>
      <top/>
      <bottom style="thin">
        <color theme="0" tint="-0.14999847407452621"/>
      </bottom>
      <diagonal/>
    </border>
  </borders>
  <cellStyleXfs count="4">
    <xf numFmtId="0" fontId="0" fillId="0" borderId="0"/>
    <xf numFmtId="0" fontId="1" fillId="0" borderId="0" applyNumberFormat="0" applyFill="0" applyBorder="0" applyAlignment="0" applyProtection="0"/>
    <xf numFmtId="0" fontId="8" fillId="0" borderId="3" applyNumberFormat="0" applyFill="0" applyBorder="0" applyAlignment="0" applyProtection="0"/>
    <xf numFmtId="0" fontId="9" fillId="0" borderId="7" applyNumberFormat="0" applyFill="0" applyBorder="0" applyAlignment="0" applyProtection="0"/>
  </cellStyleXfs>
  <cellXfs count="124">
    <xf numFmtId="0" fontId="0" fillId="0" borderId="0" xfId="0"/>
    <xf numFmtId="0" fontId="6" fillId="3"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xf>
    <xf numFmtId="0" fontId="6" fillId="0" borderId="0" xfId="0" applyFont="1" applyFill="1" applyAlignment="1" applyProtection="1">
      <alignment horizontal="left" vertical="center" wrapText="1"/>
    </xf>
    <xf numFmtId="0" fontId="6" fillId="0" borderId="0" xfId="0" applyFont="1" applyFill="1" applyBorder="1" applyAlignment="1" applyProtection="1">
      <alignment horizontal="left" vertical="center" wrapText="1"/>
    </xf>
    <xf numFmtId="0" fontId="4" fillId="3" borderId="8" xfId="0" applyFont="1" applyFill="1" applyBorder="1" applyAlignment="1" applyProtection="1">
      <alignment horizontal="left" vertical="center" wrapText="1"/>
      <protection locked="0"/>
    </xf>
    <xf numFmtId="2" fontId="4" fillId="2" borderId="14" xfId="0" applyNumberFormat="1" applyFont="1" applyFill="1" applyBorder="1" applyAlignment="1" applyProtection="1">
      <alignment horizontal="left" vertical="center" wrapText="1"/>
    </xf>
    <xf numFmtId="0" fontId="4" fillId="0" borderId="5" xfId="0" applyFont="1" applyFill="1" applyBorder="1" applyAlignment="1" applyProtection="1">
      <alignment horizontal="left" vertical="center" wrapText="1"/>
    </xf>
    <xf numFmtId="0" fontId="4" fillId="0" borderId="18" xfId="0" applyFont="1" applyFill="1" applyBorder="1" applyAlignment="1" applyProtection="1">
      <alignment horizontal="left" vertical="center" wrapText="1"/>
    </xf>
    <xf numFmtId="0" fontId="4" fillId="0" borderId="17" xfId="0" applyFont="1" applyFill="1" applyBorder="1" applyAlignment="1" applyProtection="1">
      <alignment horizontal="left" vertical="center" wrapText="1"/>
    </xf>
    <xf numFmtId="0" fontId="4" fillId="0" borderId="8" xfId="0" applyFont="1" applyFill="1" applyBorder="1" applyAlignment="1" applyProtection="1">
      <alignment horizontal="left" vertical="center" wrapText="1"/>
    </xf>
    <xf numFmtId="0" fontId="2" fillId="4" borderId="0" xfId="0" applyFont="1" applyFill="1" applyBorder="1" applyAlignment="1" applyProtection="1">
      <alignment horizontal="left" vertical="center" wrapText="1"/>
    </xf>
    <xf numFmtId="0" fontId="9" fillId="0" borderId="0" xfId="3" applyFont="1" applyBorder="1" applyAlignment="1" applyProtection="1">
      <alignment horizontal="left" vertical="center" wrapText="1"/>
    </xf>
    <xf numFmtId="0" fontId="8" fillId="0" borderId="0" xfId="2" applyFont="1" applyBorder="1" applyAlignment="1" applyProtection="1">
      <alignment horizontal="left" vertical="center"/>
    </xf>
    <xf numFmtId="0" fontId="5" fillId="4" borderId="2" xfId="0" applyFont="1" applyFill="1" applyBorder="1" applyAlignment="1" applyProtection="1">
      <alignment horizontal="left" vertical="center" wrapText="1"/>
    </xf>
    <xf numFmtId="0" fontId="8" fillId="0" borderId="1" xfId="2" applyFont="1" applyFill="1" applyBorder="1" applyAlignment="1" applyProtection="1">
      <alignment horizontal="left" vertical="center" wrapText="1"/>
    </xf>
    <xf numFmtId="2" fontId="4" fillId="3" borderId="0" xfId="0" applyNumberFormat="1" applyFont="1" applyFill="1" applyBorder="1" applyAlignment="1" applyProtection="1">
      <alignment horizontal="left" vertical="center" wrapText="1"/>
      <protection locked="0"/>
    </xf>
    <xf numFmtId="2" fontId="4" fillId="3" borderId="2" xfId="0" applyNumberFormat="1"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xf>
    <xf numFmtId="2" fontId="5" fillId="2" borderId="4" xfId="0" applyNumberFormat="1" applyFont="1" applyFill="1" applyBorder="1" applyAlignment="1" applyProtection="1">
      <alignment horizontal="left" vertical="center" wrapText="1"/>
    </xf>
    <xf numFmtId="0" fontId="4" fillId="0" borderId="0" xfId="0" applyFont="1" applyFill="1" applyAlignment="1" applyProtection="1">
      <alignment horizontal="left" vertical="center" wrapText="1"/>
    </xf>
    <xf numFmtId="0" fontId="5" fillId="0" borderId="0" xfId="0" applyFont="1" applyFill="1" applyAlignment="1" applyProtection="1">
      <alignment horizontal="left" vertical="center" wrapText="1"/>
    </xf>
    <xf numFmtId="0" fontId="9" fillId="0" borderId="0" xfId="3" applyFont="1" applyFill="1" applyBorder="1" applyAlignment="1" applyProtection="1">
      <alignment horizontal="left" vertical="center" wrapText="1"/>
    </xf>
    <xf numFmtId="2" fontId="4" fillId="0" borderId="0" xfId="0" applyNumberFormat="1" applyFont="1" applyFill="1" applyAlignment="1" applyProtection="1">
      <alignment horizontal="left" vertical="center" wrapText="1"/>
    </xf>
    <xf numFmtId="0" fontId="9" fillId="0" borderId="0" xfId="3" applyFill="1" applyBorder="1" applyAlignment="1" applyProtection="1">
      <alignment horizontal="left" vertical="center" wrapText="1"/>
    </xf>
    <xf numFmtId="0" fontId="4" fillId="2" borderId="15" xfId="0" applyFont="1" applyFill="1" applyBorder="1" applyAlignment="1" applyProtection="1">
      <alignment horizontal="left" vertical="center" wrapText="1"/>
    </xf>
    <xf numFmtId="14" fontId="4" fillId="3" borderId="14" xfId="0" applyNumberFormat="1" applyFont="1" applyFill="1" applyBorder="1" applyAlignment="1" applyProtection="1">
      <alignment horizontal="left" vertical="center" wrapText="1"/>
      <protection locked="0"/>
    </xf>
    <xf numFmtId="2" fontId="4" fillId="3" borderId="14" xfId="0" applyNumberFormat="1" applyFont="1" applyFill="1" applyBorder="1" applyAlignment="1" applyProtection="1">
      <alignment horizontal="left" vertical="center" wrapText="1"/>
      <protection locked="0"/>
    </xf>
    <xf numFmtId="0" fontId="4" fillId="3" borderId="14" xfId="0" applyFont="1" applyFill="1" applyBorder="1" applyAlignment="1" applyProtection="1">
      <alignment horizontal="left" vertical="center" wrapText="1"/>
      <protection locked="0"/>
    </xf>
    <xf numFmtId="0" fontId="4" fillId="3" borderId="15" xfId="0" applyFont="1" applyFill="1" applyBorder="1" applyAlignment="1" applyProtection="1">
      <alignment horizontal="left" vertical="center" wrapText="1"/>
      <protection locked="0"/>
    </xf>
    <xf numFmtId="0" fontId="5" fillId="5" borderId="11" xfId="0" applyFont="1" applyFill="1" applyBorder="1" applyAlignment="1" applyProtection="1">
      <alignment horizontal="left" vertical="center" wrapText="1"/>
    </xf>
    <xf numFmtId="0" fontId="5" fillId="5" borderId="23" xfId="0" applyFont="1" applyFill="1" applyBorder="1" applyAlignment="1" applyProtection="1">
      <alignment horizontal="left" vertical="center" wrapText="1"/>
    </xf>
    <xf numFmtId="0" fontId="4" fillId="0" borderId="0" xfId="0" applyFont="1" applyFill="1" applyBorder="1" applyAlignment="1" applyProtection="1">
      <alignment horizontal="left" vertical="top" wrapText="1"/>
    </xf>
    <xf numFmtId="0" fontId="6" fillId="4" borderId="2" xfId="0" applyFont="1" applyFill="1" applyBorder="1" applyAlignment="1" applyProtection="1">
      <alignment horizontal="left" vertical="center" wrapText="1"/>
    </xf>
    <xf numFmtId="0" fontId="6" fillId="3" borderId="2"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left" vertical="center" wrapText="1"/>
    </xf>
    <xf numFmtId="2" fontId="2" fillId="0" borderId="0" xfId="0" applyNumberFormat="1" applyFont="1" applyFill="1" applyBorder="1" applyAlignment="1" applyProtection="1">
      <alignment horizontal="left" vertical="center" wrapText="1"/>
    </xf>
    <xf numFmtId="2" fontId="2" fillId="0" borderId="0" xfId="0" applyNumberFormat="1" applyFont="1" applyFill="1" applyAlignment="1" applyProtection="1">
      <alignment horizontal="left" vertical="center" wrapText="1"/>
    </xf>
    <xf numFmtId="2" fontId="2" fillId="0" borderId="2" xfId="0" applyNumberFormat="1"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5" fillId="5" borderId="5" xfId="0" applyFont="1" applyFill="1" applyBorder="1" applyAlignment="1" applyProtection="1">
      <alignment horizontal="left" vertical="center" wrapText="1"/>
    </xf>
    <xf numFmtId="0" fontId="8" fillId="0" borderId="9" xfId="2"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14" fontId="4" fillId="3" borderId="2" xfId="0" applyNumberFormat="1"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xf>
    <xf numFmtId="0" fontId="4" fillId="2" borderId="16" xfId="0" applyFont="1" applyFill="1" applyBorder="1" applyAlignment="1" applyProtection="1">
      <alignment horizontal="left" vertical="center" wrapText="1"/>
    </xf>
    <xf numFmtId="0" fontId="5" fillId="2" borderId="20" xfId="0" applyFont="1" applyFill="1" applyBorder="1" applyAlignment="1" applyProtection="1">
      <alignment horizontal="left" vertical="center" wrapText="1"/>
    </xf>
    <xf numFmtId="2" fontId="5" fillId="2" borderId="21" xfId="0" applyNumberFormat="1" applyFont="1" applyFill="1" applyBorder="1" applyAlignment="1" applyProtection="1">
      <alignment horizontal="left" vertical="center" wrapText="1"/>
    </xf>
    <xf numFmtId="2" fontId="5" fillId="2" borderId="22" xfId="0" applyNumberFormat="1" applyFont="1" applyFill="1" applyBorder="1" applyAlignment="1" applyProtection="1">
      <alignment horizontal="left" vertical="center" wrapText="1"/>
    </xf>
    <xf numFmtId="0" fontId="8" fillId="0" borderId="12" xfId="2"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2" fillId="0" borderId="0" xfId="0" applyFont="1" applyFill="1" applyAlignment="1" applyProtection="1">
      <alignment horizontal="left" vertical="center" wrapText="1"/>
    </xf>
    <xf numFmtId="0" fontId="2" fillId="4" borderId="8" xfId="0" applyFont="1" applyFill="1" applyBorder="1" applyAlignment="1" applyProtection="1">
      <alignment horizontal="left" vertical="center" wrapText="1"/>
    </xf>
    <xf numFmtId="2" fontId="2" fillId="2" borderId="14" xfId="0" applyNumberFormat="1" applyFont="1" applyFill="1" applyBorder="1" applyAlignment="1" applyProtection="1">
      <alignment horizontal="left" vertical="center" wrapText="1"/>
    </xf>
    <xf numFmtId="0" fontId="2" fillId="2" borderId="14" xfId="0" applyFont="1" applyFill="1" applyBorder="1" applyAlignment="1" applyProtection="1">
      <alignment horizontal="left" vertical="center" wrapText="1"/>
    </xf>
    <xf numFmtId="0" fontId="2" fillId="2" borderId="15" xfId="0" applyFont="1" applyFill="1" applyBorder="1" applyAlignment="1" applyProtection="1">
      <alignment horizontal="left" vertical="center" wrapText="1"/>
    </xf>
    <xf numFmtId="0" fontId="6" fillId="0" borderId="5" xfId="0" applyFont="1" applyFill="1" applyBorder="1" applyAlignment="1" applyProtection="1">
      <alignment horizontal="left" vertical="center" wrapText="1"/>
    </xf>
    <xf numFmtId="0" fontId="5" fillId="4" borderId="11" xfId="0" applyFont="1" applyFill="1" applyBorder="1" applyAlignment="1" applyProtection="1">
      <alignment horizontal="left" vertical="center"/>
    </xf>
    <xf numFmtId="0" fontId="5" fillId="4" borderId="23" xfId="0" applyFont="1" applyFill="1" applyBorder="1" applyAlignment="1" applyProtection="1">
      <alignment horizontal="left" vertical="center" wrapText="1"/>
    </xf>
    <xf numFmtId="2" fontId="5" fillId="2" borderId="14" xfId="0" applyNumberFormat="1" applyFont="1" applyFill="1" applyBorder="1" applyAlignment="1" applyProtection="1">
      <alignment horizontal="left" vertical="center" wrapText="1"/>
    </xf>
    <xf numFmtId="2" fontId="2" fillId="2" borderId="14" xfId="0" quotePrefix="1" applyNumberFormat="1" applyFont="1" applyFill="1" applyBorder="1" applyAlignment="1" applyProtection="1">
      <alignment horizontal="left" vertical="center" wrapText="1"/>
    </xf>
    <xf numFmtId="0" fontId="2" fillId="5" borderId="11" xfId="0" applyFont="1" applyFill="1" applyBorder="1" applyAlignment="1" applyProtection="1">
      <alignment horizontal="left" vertical="center"/>
    </xf>
    <xf numFmtId="0" fontId="2" fillId="5" borderId="10" xfId="0" applyFont="1" applyFill="1" applyBorder="1" applyAlignment="1" applyProtection="1">
      <alignment horizontal="left" vertical="center"/>
    </xf>
    <xf numFmtId="0" fontId="5" fillId="4" borderId="11" xfId="0" applyFont="1" applyFill="1" applyBorder="1" applyAlignment="1" applyProtection="1">
      <alignment horizontal="left" vertical="center" wrapText="1"/>
    </xf>
    <xf numFmtId="0" fontId="6" fillId="0" borderId="0"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6" fillId="0" borderId="0" xfId="0" applyFont="1" applyAlignment="1">
      <alignment horizontal="left" vertical="center" wrapText="1"/>
    </xf>
    <xf numFmtId="0" fontId="4" fillId="0" borderId="2" xfId="0" applyFont="1" applyBorder="1" applyAlignment="1" applyProtection="1">
      <alignment horizontal="left" vertical="center" wrapText="1"/>
    </xf>
    <xf numFmtId="0" fontId="7" fillId="0" borderId="2" xfId="1" applyFont="1" applyBorder="1" applyAlignment="1" applyProtection="1">
      <alignment horizontal="left" vertical="center" wrapText="1"/>
    </xf>
    <xf numFmtId="0" fontId="7" fillId="0" borderId="0" xfId="1"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6" fillId="0" borderId="5"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4" borderId="2" xfId="0" applyFont="1" applyFill="1" applyBorder="1" applyAlignment="1" applyProtection="1">
      <alignment horizontal="left" vertical="center" wrapText="1"/>
    </xf>
    <xf numFmtId="2" fontId="6" fillId="3" borderId="2" xfId="0" applyNumberFormat="1" applyFont="1" applyFill="1" applyBorder="1" applyAlignment="1" applyProtection="1">
      <alignment horizontal="left" vertical="center" wrapText="1"/>
      <protection locked="0"/>
    </xf>
    <xf numFmtId="2" fontId="5" fillId="0" borderId="0" xfId="0" applyNumberFormat="1" applyFont="1" applyFill="1" applyBorder="1" applyAlignment="1" applyProtection="1">
      <alignment horizontal="left" vertical="center" wrapText="1"/>
    </xf>
    <xf numFmtId="2" fontId="2" fillId="4" borderId="0" xfId="0" applyNumberFormat="1" applyFont="1" applyFill="1" applyBorder="1" applyAlignment="1" applyProtection="1">
      <alignment horizontal="left" vertical="center" wrapText="1"/>
    </xf>
    <xf numFmtId="0" fontId="2" fillId="4" borderId="23" xfId="0" applyFont="1" applyFill="1" applyBorder="1" applyAlignment="1" applyProtection="1">
      <alignment horizontal="left" vertical="center" wrapText="1"/>
    </xf>
    <xf numFmtId="0" fontId="6" fillId="6" borderId="2" xfId="0" applyFont="1" applyFill="1" applyBorder="1" applyAlignment="1" applyProtection="1">
      <alignment horizontal="left" vertical="center" wrapText="1"/>
      <protection locked="0"/>
    </xf>
    <xf numFmtId="0" fontId="6" fillId="6" borderId="0" xfId="0" applyFont="1" applyFill="1" applyBorder="1" applyAlignment="1" applyProtection="1">
      <alignment horizontal="left" vertical="center" wrapText="1"/>
      <protection locked="0"/>
    </xf>
    <xf numFmtId="0" fontId="6" fillId="0" borderId="17" xfId="0" applyFont="1" applyBorder="1" applyAlignment="1" applyProtection="1">
      <alignment horizontal="left" vertical="center" wrapText="1"/>
    </xf>
    <xf numFmtId="0" fontId="9" fillId="0" borderId="17" xfId="3" applyBorder="1" applyAlignment="1" applyProtection="1">
      <alignment horizontal="left" vertical="center" wrapText="1"/>
    </xf>
    <xf numFmtId="0" fontId="2" fillId="4" borderId="14" xfId="0" applyFont="1" applyFill="1" applyBorder="1" applyAlignment="1" applyProtection="1">
      <alignment horizontal="left" vertical="center" wrapText="1"/>
    </xf>
    <xf numFmtId="0" fontId="5" fillId="4" borderId="8" xfId="0" applyFont="1" applyFill="1" applyBorder="1" applyAlignment="1" applyProtection="1">
      <alignment horizontal="left" vertical="center"/>
    </xf>
    <xf numFmtId="0" fontId="5" fillId="4" borderId="17" xfId="0" applyFont="1" applyFill="1" applyBorder="1" applyAlignment="1" applyProtection="1">
      <alignment horizontal="left" vertical="center"/>
    </xf>
    <xf numFmtId="2" fontId="5" fillId="4" borderId="21" xfId="0" applyNumberFormat="1" applyFont="1" applyFill="1" applyBorder="1" applyAlignment="1" applyProtection="1">
      <alignment horizontal="left" vertical="center" wrapText="1"/>
    </xf>
    <xf numFmtId="2" fontId="5" fillId="2" borderId="2" xfId="0" applyNumberFormat="1" applyFont="1" applyFill="1" applyBorder="1" applyAlignment="1" applyProtection="1">
      <alignment horizontal="left" vertical="center" wrapText="1"/>
    </xf>
    <xf numFmtId="0" fontId="8" fillId="0" borderId="0" xfId="2" applyFont="1" applyFill="1" applyBorder="1" applyAlignment="1" applyProtection="1">
      <alignment horizontal="left" vertical="center" wrapText="1"/>
    </xf>
    <xf numFmtId="0" fontId="4" fillId="0" borderId="0" xfId="0" applyFont="1" applyFill="1" applyAlignment="1" applyProtection="1">
      <alignment horizontal="left" vertical="top" wrapText="1"/>
    </xf>
    <xf numFmtId="2" fontId="4" fillId="0" borderId="17" xfId="0" applyNumberFormat="1" applyFont="1" applyFill="1" applyBorder="1" applyAlignment="1" applyProtection="1">
      <alignment horizontal="left" vertical="center" wrapText="1"/>
      <protection locked="0"/>
    </xf>
    <xf numFmtId="0" fontId="9" fillId="2" borderId="19" xfId="3" applyFont="1" applyFill="1" applyBorder="1" applyAlignment="1" applyProtection="1">
      <alignment horizontal="left" vertical="center" wrapText="1"/>
    </xf>
    <xf numFmtId="0" fontId="4" fillId="0" borderId="0" xfId="0" applyFont="1" applyFill="1" applyBorder="1" applyAlignment="1" applyProtection="1">
      <alignment horizontal="left" wrapText="1"/>
    </xf>
    <xf numFmtId="0" fontId="4" fillId="0" borderId="14" xfId="0" applyFont="1" applyFill="1" applyBorder="1" applyAlignment="1" applyProtection="1">
      <alignment horizontal="left" wrapText="1"/>
    </xf>
    <xf numFmtId="0" fontId="4" fillId="0" borderId="14" xfId="0" applyFont="1" applyFill="1" applyBorder="1" applyAlignment="1" applyProtection="1">
      <alignment horizontal="left" wrapText="1"/>
      <protection locked="0"/>
    </xf>
    <xf numFmtId="0" fontId="4" fillId="0" borderId="24" xfId="0" applyFont="1" applyFill="1" applyBorder="1" applyAlignment="1" applyProtection="1">
      <alignment horizontal="left" wrapText="1"/>
    </xf>
    <xf numFmtId="0" fontId="4" fillId="0" borderId="15" xfId="0" applyFont="1" applyFill="1" applyBorder="1" applyAlignment="1" applyProtection="1">
      <alignment horizontal="left" wrapText="1"/>
    </xf>
    <xf numFmtId="0" fontId="4" fillId="0" borderId="6" xfId="0" applyFont="1" applyFill="1" applyBorder="1" applyAlignment="1" applyProtection="1">
      <alignment horizontal="left" wrapText="1"/>
    </xf>
    <xf numFmtId="0" fontId="4" fillId="4" borderId="2" xfId="0" applyFont="1" applyFill="1" applyBorder="1" applyAlignment="1" applyProtection="1">
      <alignment horizontal="left" wrapText="1"/>
    </xf>
    <xf numFmtId="0" fontId="9" fillId="0" borderId="6" xfId="3" applyFont="1" applyFill="1" applyBorder="1" applyAlignment="1" applyProtection="1">
      <alignment horizontal="left" vertical="center" wrapText="1"/>
    </xf>
    <xf numFmtId="0" fontId="11" fillId="0" borderId="0" xfId="1" applyFont="1" applyFill="1" applyAlignment="1" applyProtection="1">
      <alignment horizontal="left" vertical="center" wrapText="1"/>
    </xf>
    <xf numFmtId="0" fontId="5" fillId="0" borderId="17" xfId="3" applyFont="1" applyFill="1" applyBorder="1" applyAlignment="1" applyProtection="1">
      <alignment horizontal="left" vertical="center" wrapText="1"/>
    </xf>
    <xf numFmtId="0" fontId="5" fillId="4" borderId="10" xfId="1" applyFont="1" applyFill="1" applyBorder="1" applyAlignment="1" applyProtection="1">
      <alignment horizontal="left" vertical="center" wrapText="1"/>
    </xf>
    <xf numFmtId="0" fontId="7" fillId="0" borderId="14" xfId="1" applyFont="1" applyBorder="1" applyAlignment="1" applyProtection="1">
      <alignment horizontal="left" vertical="center" wrapText="1"/>
    </xf>
    <xf numFmtId="0" fontId="7" fillId="0" borderId="15" xfId="1" applyFont="1" applyBorder="1" applyAlignment="1" applyProtection="1">
      <alignment horizontal="left" vertical="center" wrapText="1"/>
    </xf>
    <xf numFmtId="0" fontId="6" fillId="0" borderId="0" xfId="0" applyFont="1" applyFill="1" applyAlignment="1" applyProtection="1">
      <alignment horizontal="left" wrapText="1"/>
    </xf>
    <xf numFmtId="0" fontId="2" fillId="0" borderId="0" xfId="0" applyFont="1" applyFill="1" applyAlignment="1" applyProtection="1">
      <alignment horizontal="left" wrapText="1"/>
    </xf>
    <xf numFmtId="0" fontId="10" fillId="0" borderId="0" xfId="0" applyFont="1" applyFill="1" applyAlignment="1" applyProtection="1">
      <alignment horizontal="left" vertical="center" wrapText="1"/>
    </xf>
    <xf numFmtId="0" fontId="6" fillId="0" borderId="0" xfId="0" applyFont="1" applyFill="1" applyAlignment="1" applyProtection="1">
      <alignment horizontal="left" vertical="center"/>
    </xf>
    <xf numFmtId="0" fontId="6" fillId="4" borderId="0" xfId="0" applyFont="1" applyFill="1" applyAlignment="1" applyProtection="1">
      <alignment horizontal="left" vertical="center" wrapText="1"/>
    </xf>
    <xf numFmtId="0" fontId="10" fillId="0" borderId="12"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2" fillId="0" borderId="0" xfId="0" applyFont="1" applyFill="1" applyBorder="1" applyAlignment="1">
      <alignment horizontal="left" vertical="center" wrapText="1"/>
    </xf>
    <xf numFmtId="0" fontId="6" fillId="0" borderId="0" xfId="0" applyFont="1" applyFill="1" applyBorder="1" applyAlignment="1">
      <alignment wrapText="1"/>
    </xf>
    <xf numFmtId="0" fontId="6"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2" fontId="6" fillId="0" borderId="0" xfId="0"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0" fontId="4" fillId="0" borderId="0" xfId="0" applyFont="1" applyFill="1" applyBorder="1" applyAlignment="1">
      <alignment horizontal="left" vertical="center" wrapText="1"/>
    </xf>
    <xf numFmtId="2" fontId="4" fillId="0" borderId="0" xfId="0" applyNumberFormat="1" applyFont="1" applyFill="1" applyBorder="1" applyAlignment="1">
      <alignment horizontal="left" vertical="center" wrapText="1"/>
    </xf>
    <xf numFmtId="0" fontId="6" fillId="0" borderId="0" xfId="0" applyFont="1" applyFill="1" applyBorder="1" applyAlignment="1" applyProtection="1">
      <alignment horizontal="left" vertical="center" wrapText="1"/>
      <protection hidden="1"/>
    </xf>
    <xf numFmtId="2" fontId="12" fillId="0" borderId="0" xfId="0" applyNumberFormat="1" applyFont="1" applyFill="1" applyBorder="1" applyAlignment="1">
      <alignment horizontal="left" vertical="center" wrapText="1"/>
    </xf>
    <xf numFmtId="0" fontId="10" fillId="0" borderId="0" xfId="0" applyFont="1" applyFill="1" applyBorder="1" applyAlignment="1">
      <alignment vertical="center" wrapText="1"/>
    </xf>
  </cellXfs>
  <cellStyles count="4">
    <cellStyle name="Heading 1" xfId="2" builtinId="16" customBuiltin="1"/>
    <cellStyle name="Heading 2" xfId="3" builtinId="17" customBuiltin="1"/>
    <cellStyle name="Hyperlink" xfId="1" builtinId="8"/>
    <cellStyle name="Normal" xfId="0" builtinId="0"/>
  </cellStyles>
  <dxfs count="130">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2"/>
        <name val="Arial"/>
        <family val="2"/>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2"/>
        <name val="Arial"/>
        <family val="2"/>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2"/>
        <name val="Arial"/>
        <family val="2"/>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2"/>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protection locked="1" hidden="1"/>
    </dxf>
    <dxf>
      <font>
        <strike val="0"/>
        <outline val="0"/>
        <shadow val="0"/>
        <u val="none"/>
        <vertAlign val="baseline"/>
        <sz val="12"/>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2"/>
        <name val="Arial"/>
        <family val="2"/>
        <scheme val="none"/>
      </font>
      <alignment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2"/>
        <name val="Arial"/>
        <family val="2"/>
        <scheme val="none"/>
      </font>
      <alignment textRotation="0" wrapText="1"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auto="1"/>
        </top>
        <bottom style="thin">
          <color auto="1"/>
        </bottom>
      </border>
      <protection locked="1" hidden="0"/>
    </dxf>
    <dxf>
      <border outline="0">
        <top style="thin">
          <color indexed="64"/>
        </top>
      </border>
    </dxf>
    <dxf>
      <border outline="0">
        <left style="thin">
          <color auto="1"/>
        </left>
        <right style="thin">
          <color auto="1"/>
        </right>
        <top style="thin">
          <color auto="1"/>
        </top>
        <bottom style="thin">
          <color auto="1"/>
        </bottom>
      </border>
    </dxf>
    <dxf>
      <font>
        <strike val="0"/>
        <outline val="0"/>
        <shadow val="0"/>
        <u val="none"/>
        <vertAlign val="baseline"/>
        <sz val="12"/>
        <name val="Arial"/>
        <family val="2"/>
        <scheme val="none"/>
      </font>
      <alignment horizontal="left" vertical="center" textRotation="0" wrapText="1" indent="0" justifyLastLine="0" shrinkToFit="0" readingOrder="0"/>
      <protection locked="1" hidden="0"/>
    </dxf>
    <dxf>
      <border outline="0">
        <bottom style="thin">
          <color indexed="64"/>
        </bottom>
      </border>
    </dxf>
    <dxf>
      <font>
        <strike val="0"/>
        <outline val="0"/>
        <shadow val="0"/>
        <u val="none"/>
        <vertAlign val="baseline"/>
        <sz val="12"/>
        <name val="Arial"/>
        <family val="2"/>
        <scheme val="none"/>
      </font>
      <alignment horizontal="left" vertical="center" textRotation="0" indent="0" justifyLastLine="0" shrinkToFit="0" readingOrder="0"/>
      <protection locked="1" hidden="0"/>
    </dxf>
    <dxf>
      <font>
        <strike val="0"/>
        <outline val="0"/>
        <shadow val="0"/>
        <u val="none"/>
        <vertAlign val="baseline"/>
        <sz val="12"/>
        <name val="Arial"/>
        <family val="2"/>
        <scheme val="none"/>
      </font>
      <numFmt numFmtId="0" formatCode="Genera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protection locked="1" hidden="0"/>
    </dxf>
    <dxf>
      <font>
        <strike val="0"/>
        <outline val="0"/>
        <shadow val="0"/>
        <u val="none"/>
        <vertAlign val="baseline"/>
        <sz val="12"/>
        <name val="Arial"/>
        <family val="2"/>
        <scheme val="none"/>
      </font>
      <numFmt numFmtId="0" formatCode="General"/>
      <alignment horizontal="left" vertical="center" textRotation="0" wrapText="1" indent="0" justifyLastLine="0" shrinkToFit="0" readingOrder="0"/>
      <protection locked="1" hidden="0"/>
    </dxf>
    <dxf>
      <font>
        <strike val="0"/>
        <outline val="0"/>
        <shadow val="0"/>
        <u val="none"/>
        <vertAlign val="baseline"/>
        <sz val="12"/>
        <name val="Arial"/>
        <family val="2"/>
        <scheme val="none"/>
      </font>
      <numFmt numFmtId="0" formatCode="General"/>
      <alignment horizontal="left" vertical="center" textRotation="0" wrapText="1" indent="0" justifyLastLine="0" shrinkToFit="0" readingOrder="0"/>
      <protection locked="1" hidden="0"/>
    </dxf>
    <dxf>
      <font>
        <strike val="0"/>
        <outline val="0"/>
        <shadow val="0"/>
        <u val="none"/>
        <vertAlign val="baseline"/>
        <sz val="12"/>
        <name val="Arial"/>
        <family val="2"/>
        <scheme val="none"/>
      </font>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theme="9"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protection locked="1" hidden="0"/>
    </dxf>
    <dxf>
      <font>
        <strike val="0"/>
        <outline val="0"/>
        <shadow val="0"/>
        <u val="none"/>
        <vertAlign val="baseline"/>
        <sz val="12"/>
        <name val="Arial"/>
        <family val="2"/>
        <scheme val="none"/>
      </font>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fill>
        <patternFill patternType="solid">
          <fgColor indexed="64"/>
          <bgColor theme="2"/>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bottom" textRotation="0" wrapText="1" indent="0" justifyLastLine="0" shrinkToFit="0" readingOrder="0"/>
      <protection locked="1" hidden="0"/>
    </dxf>
    <dxf>
      <font>
        <strike val="0"/>
        <outline val="0"/>
        <shadow val="0"/>
        <u val="none"/>
        <vertAlign val="baseline"/>
        <sz val="12"/>
        <name val="Arial"/>
        <family val="2"/>
        <scheme val="none"/>
      </font>
      <alignment horizontal="left"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theme="9"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alignment horizontal="left" vertical="center" textRotation="0"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alignment horizontal="left" vertical="center" textRotation="0" wrapText="1" indent="0" justifyLastLine="0" shrinkToFit="0" readingOrder="0"/>
      <protection locked="1" hidden="0"/>
    </dxf>
    <dxf>
      <border>
        <bottom style="thin">
          <color indexed="64"/>
        </bottom>
      </border>
    </dxf>
    <dxf>
      <font>
        <strike val="0"/>
        <outline val="0"/>
        <shadow val="0"/>
        <u val="none"/>
        <vertAlign val="baseline"/>
        <sz val="12"/>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color theme="1"/>
      </font>
    </dxf>
    <dxf>
      <font>
        <b/>
        <i val="0"/>
        <strike val="0"/>
        <condense val="0"/>
        <extend val="0"/>
        <outline val="0"/>
        <shadow val="0"/>
        <u val="none"/>
        <vertAlign val="baseline"/>
        <sz val="12"/>
        <color auto="1"/>
        <name val="Arial"/>
        <family val="2"/>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outline="0">
        <left style="thin">
          <color auto="1"/>
        </left>
        <right style="thin">
          <color theme="1"/>
        </right>
        <top style="thin">
          <color auto="1"/>
        </top>
        <bottom/>
      </border>
      <protection locked="1" hidden="0"/>
    </dxf>
    <dxf>
      <font>
        <strike val="0"/>
        <outline val="0"/>
        <shadow val="0"/>
        <u val="none"/>
        <vertAlign val="baseline"/>
        <sz val="12"/>
        <color auto="1"/>
        <name val="Arial"/>
        <family val="2"/>
        <scheme val="none"/>
      </font>
      <alignment horizontal="left" textRotation="0" indent="0" justifyLastLine="0" shrinkToFit="0" readingOrder="0"/>
      <protection locked="1" hidden="0"/>
    </dxf>
    <dxf>
      <border outline="0">
        <left style="thin">
          <color auto="1"/>
        </left>
        <top style="thin">
          <color auto="1"/>
        </top>
        <bottom style="thin">
          <color indexed="64"/>
        </bottom>
      </border>
    </dxf>
    <dxf>
      <font>
        <strike val="0"/>
        <outline val="0"/>
        <shadow val="0"/>
        <u val="none"/>
        <vertAlign val="baseline"/>
        <sz val="12"/>
        <color auto="1"/>
        <name val="Arial"/>
        <family val="2"/>
        <scheme val="none"/>
      </font>
      <alignment horizontal="left" textRotation="0" indent="0" justifyLastLine="0" shrinkToFit="0" readingOrder="0"/>
      <protection locked="1" hidden="0"/>
    </dxf>
    <dxf>
      <border outline="0">
        <bottom style="thin">
          <color auto="1"/>
        </bottom>
      </border>
    </dxf>
    <dxf>
      <font>
        <strike val="0"/>
        <outline val="0"/>
        <shadow val="0"/>
        <u val="none"/>
        <vertAlign val="baseline"/>
        <sz val="12"/>
        <color auto="1"/>
        <name val="Arial"/>
        <family val="2"/>
        <scheme val="none"/>
      </font>
      <fill>
        <patternFill patternType="solid">
          <fgColor indexed="64"/>
          <bgColor theme="2"/>
        </patternFill>
      </fill>
      <alignment horizontal="left" textRotation="0" indent="0" justifyLastLine="0" shrinkToFit="0" readingOrder="0"/>
      <protection locked="1" hidden="0"/>
    </dxf>
    <dxf>
      <font>
        <strike val="0"/>
        <outline val="0"/>
        <shadow val="0"/>
        <u val="none"/>
        <vertAlign val="baseline"/>
        <sz val="12"/>
        <color auto="1"/>
        <name val="Arial"/>
        <family val="2"/>
        <scheme val="none"/>
      </font>
      <alignment horizontal="left" textRotation="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alignment horizontal="left" textRotation="0" indent="0" justifyLastLine="0" shrinkToFit="0" readingOrder="0"/>
      <protection locked="1" hidden="0"/>
    </dxf>
    <dxf>
      <border>
        <bottom style="thin">
          <color indexed="64"/>
        </bottom>
      </border>
    </dxf>
    <dxf>
      <font>
        <b/>
        <strike val="0"/>
        <outline val="0"/>
        <shadow val="0"/>
        <u val="none"/>
        <vertAlign val="baseline"/>
        <sz val="12"/>
        <color auto="1"/>
        <name val="Arial"/>
        <family val="2"/>
        <scheme val="none"/>
      </font>
      <alignment horizontal="left" textRotation="0" indent="0" justifyLastLine="0" shrinkToFit="0" readingOrder="0"/>
      <border diagonalUp="0" diagonalDown="0" outline="0">
        <left style="thin">
          <color indexed="64"/>
        </left>
        <right style="thin">
          <color indexed="64"/>
        </right>
        <top/>
        <bottom/>
      </border>
      <protection locked="1" hidden="0"/>
    </dxf>
    <dxf>
      <fill>
        <patternFill>
          <bgColor rgb="FFE2EFDA"/>
        </patternFill>
      </fill>
    </dxf>
    <dxf>
      <fill>
        <patternFill>
          <bgColor rgb="FFE2EFDA"/>
        </patternFill>
      </fill>
    </dxf>
    <dxf>
      <font>
        <strike val="0"/>
        <outline val="0"/>
        <shadow val="0"/>
        <vertAlign val="baseline"/>
        <sz val="12"/>
        <name val="Arial"/>
        <family val="2"/>
        <scheme val="none"/>
      </font>
      <alignment horizontal="lef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alignment horizontal="left" vertical="center" textRotation="0" indent="0" justifyLastLine="0" shrinkToFit="0" readingOrder="0"/>
    </dxf>
    <dxf>
      <border>
        <bottom style="thin">
          <color indexed="64"/>
        </bottom>
      </border>
    </dxf>
    <dxf>
      <font>
        <b/>
        <strike val="0"/>
        <outline val="0"/>
        <shadow val="0"/>
        <u val="none"/>
        <vertAlign val="baseline"/>
        <sz val="12"/>
        <color auto="1"/>
        <name val="Arial"/>
        <family val="2"/>
        <scheme val="none"/>
      </font>
      <fill>
        <patternFill patternType="solid">
          <fgColor indexed="64"/>
          <bgColor theme="2"/>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ertAlign val="baseline"/>
        <sz val="12"/>
        <color theme="10"/>
        <name val="Arial"/>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protection locked="1" hidden="0"/>
    </dxf>
    <dxf>
      <font>
        <strike val="0"/>
        <outline val="0"/>
        <shadow val="0"/>
        <vertAlign val="baseline"/>
        <sz val="12"/>
        <name val="Arial"/>
        <family val="2"/>
        <scheme val="none"/>
      </font>
      <alignment horizontal="left" vertical="center" textRotation="0" indent="0" justifyLastLine="0" shrinkToFit="0" readingOrder="0"/>
    </dxf>
    <dxf>
      <font>
        <b/>
        <strike val="0"/>
        <outline val="0"/>
        <shadow val="0"/>
        <vertAlign val="baseline"/>
        <sz val="12"/>
        <name val="Arial"/>
        <family val="2"/>
        <scheme val="none"/>
      </font>
      <fill>
        <patternFill patternType="solid">
          <fgColor indexed="64"/>
          <bgColor theme="2"/>
        </patternFill>
      </fill>
      <alignment horizontal="left" vertical="center" textRotation="0" wrapText="1" indent="0" justifyLastLine="0" shrinkToFit="0" readingOrder="0"/>
    </dxf>
  </dxfs>
  <tableStyles count="2" defaultTableStyle="TableStyleMedium2" defaultPivotStyle="PivotStyleLight16">
    <tableStyle name="Table Style 1" pivot="0" count="0" xr9:uid="{5D883CF4-3ADC-4CD3-B12F-5AE68B67A489}"/>
    <tableStyle name="Table Style 2" pivot="0" count="0" xr9:uid="{41CA7FC3-67DD-4F38-A424-2FE17B9C20C1}"/>
  </tableStyles>
  <colors>
    <mruColors>
      <color rgb="FFEDEDED"/>
      <color rgb="FFE2EFDA"/>
      <color rgb="FF000000"/>
      <color rgb="FF449669"/>
      <color rgb="FFF7E8BE"/>
      <color rgb="FF9DD3BE"/>
      <color rgb="FFAAC7EE"/>
      <color rgb="FFF3EEDD"/>
      <color rgb="FF9DDBBE"/>
      <color rgb="FFC5C5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tyles" Target="style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56\OneDrive%20-%20Ricardo%20Plc\NE%20NN\Copy%20of%20Herefordshire%20Council%20Phosphate%20Budget%20Calculator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Stage 1"/>
      <sheetName val="Stage 2"/>
      <sheetName val="Stage 3"/>
      <sheetName val="Stage 4"/>
      <sheetName val="WwTW look up"/>
      <sheetName val="Stage 2 and 3 lookups"/>
      <sheetName val="WwTW Catchments"/>
    </sheetNames>
    <sheetDataSet>
      <sheetData sheetId="0"/>
      <sheetData sheetId="1"/>
      <sheetData sheetId="2"/>
      <sheetData sheetId="3"/>
      <sheetData sheetId="4"/>
      <sheetData sheetId="5"/>
      <sheetData sheetId="6"/>
      <sheetData sheetId="7"/>
    </sheetDataSet>
  </externalBook>
</externalLink>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13</v>
    <v>3</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EBF9311-A278-4083-BF4D-937B4AAC2ED7}" name="Table_1_Links" displayName="Table_1_Links" ref="A9:B14" totalsRowShown="0" headerRowDxfId="129" dataDxfId="128">
  <autoFilter ref="A9:B14" xr:uid="{7EBF9311-A278-4083-BF4D-937B4AAC2ED7}">
    <filterColumn colId="0" hiddenButton="1"/>
    <filterColumn colId="1" hiddenButton="1"/>
  </autoFilter>
  <tableColumns count="2">
    <tableColumn id="1" xr3:uid="{EC08AA9D-D8AA-4D04-81C0-5F70E5CFF32B}" name="Topic of each table" dataDxfId="127"/>
    <tableColumn id="2" xr3:uid="{8626C486-F03D-46F8-B4FF-6F484971E7CB}" name="Link to each worksheet" dataDxfId="126" dataCellStyle="Hyperlink"/>
  </tableColumns>
  <tableStyleInfo name="Table Sty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FE37188-585B-4C8B-93B8-9D1740DB4F32}" name="Table2" displayName="Table2" ref="A164:A180" totalsRowShown="0" headerRowDxfId="58" dataDxfId="57">
  <autoFilter ref="A164:A180" xr:uid="{9FE37188-585B-4C8B-93B8-9D1740DB4F32}">
    <filterColumn colId="0" hiddenButton="1"/>
  </autoFilter>
  <tableColumns count="1">
    <tableColumn id="1" xr3:uid="{AE2C36C7-F303-4C5A-8166-779851025928}" name="Itchen Specific Landcover Types" dataDxfId="56"/>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7E373C5-D0CE-42F2-9526-68F6C3493A4E}" name="Table6" displayName="Table6" ref="A144:A161" totalsRowShown="0" headerRowDxfId="55" dataDxfId="54">
  <autoFilter ref="A144:A161" xr:uid="{27E373C5-D0CE-42F2-9526-68F6C3493A4E}">
    <filterColumn colId="0" hiddenButton="1"/>
  </autoFilter>
  <tableColumns count="1">
    <tableColumn id="1" xr3:uid="{53B368C1-8BC9-40BE-BF12-2BD44CBABE8A}" name="All Possible Landcover Types" dataDxfId="53"/>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2ED230A-D03F-4AFE-B6E2-A2C0CA247A6E}" name="Table8" displayName="Table8" ref="A139:B141" totalsRowShown="0" headerRowDxfId="52" dataDxfId="51">
  <autoFilter ref="A139:B141" xr:uid="{92ED230A-D03F-4AFE-B6E2-A2C0CA247A6E}">
    <filterColumn colId="0" hiddenButton="1"/>
    <filterColumn colId="1" hiddenButton="1"/>
  </autoFilter>
  <tableColumns count="2">
    <tableColumn id="1" xr3:uid="{733091DA-D7C2-4BC5-B808-44E4059922C0}" name="NVZ" dataDxfId="50"/>
    <tableColumn id="2" xr3:uid="{F0C58FBC-95F8-49DE-8689-2F83AB0C11EB}" name="Farmscoper equivalent" dataDxfId="49"/>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A6CB2E1-69B4-4AD4-994C-659133C27DDB}" name="Table9" displayName="Table9" ref="A130:C136" totalsRowShown="0" headerRowDxfId="48" dataDxfId="47">
  <autoFilter ref="A130:C136" xr:uid="{1A6CB2E1-69B4-4AD4-994C-659133C27DDB}">
    <filterColumn colId="0" hiddenButton="1"/>
    <filterColumn colId="1" hiddenButton="1"/>
    <filterColumn colId="2" hiddenButton="1"/>
  </autoFilter>
  <tableColumns count="3">
    <tableColumn id="1" xr3:uid="{22766906-A0A6-4E97-AF30-1597153F0350}" name="Soilscape drainage term" dataDxfId="46"/>
    <tableColumn id="2" xr3:uid="{F002BB36-823A-4836-A21B-B579E90BABD3}" name="Farmscoper term" dataDxfId="45"/>
    <tableColumn id="3" xr3:uid="{9175DC56-F38C-4D28-A172-11226D1D23E9}" name="Definition" dataDxfId="44"/>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1B3FB2B-EB57-4104-B68D-005ACE17DAAA}" name="Table11" displayName="Table11" ref="A126:B127" totalsRowShown="0" headerRowDxfId="43" dataDxfId="42">
  <autoFilter ref="A126:B127" xr:uid="{91B3FB2B-EB57-4104-B68D-005ACE17DAAA}">
    <filterColumn colId="0" hiddenButton="1"/>
    <filterColumn colId="1" hiddenButton="1"/>
  </autoFilter>
  <tableColumns count="2">
    <tableColumn id="1" xr3:uid="{89EA0223-64FE-4218-878D-A564ADBADDD1}" name="Operational Catchment" dataDxfId="41"/>
    <tableColumn id="2" xr3:uid="{EFCB9C34-1A22-413A-B569-EB7D0539CE10}" name="Farmscoper equivalent" dataDxfId="40"/>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0ED9AF4-0B9C-46D1-A504-516FB3E2D7EF}" name="Table12" displayName="Table12" ref="A100:K123" totalsRowShown="0" headerRowDxfId="39" dataDxfId="38">
  <autoFilter ref="A100:K123" xr:uid="{30ED9AF4-0B9C-46D1-A504-516FB3E2D7E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CB73E3E-D4B1-4E91-9FE1-DC3C15FC5104}" name="Rainfall band" dataDxfId="37"/>
    <tableColumn id="2" xr3:uid="{6314E66D-7991-4DDA-9A1D-1FE2961CCE28}" name="Mid" dataDxfId="36"/>
    <tableColumn id="3" xr3:uid="{0B72D170-B3FB-410B-B94E-238D55DCBE68}" name="Farmscoper Equivalent" dataDxfId="35"/>
    <tableColumn id="4" xr3:uid="{0F992BC0-BDCD-49A0-800D-DE9390E83D4D}" name="P Urban Runoff Coefficient " dataDxfId="34"/>
    <tableColumn id="5" xr3:uid="{CC4E8ED1-10B1-497F-85BB-B21C5930A734}" name="N Urban Runoff Coefficient (kg/ha/yr)" dataDxfId="33"/>
    <tableColumn id="6" xr3:uid="{8AA02858-4B6E-42E1-8EB2-D3C4BAB72698}" name="Residential P export coefficient (kg/ha/yr)" dataDxfId="32"/>
    <tableColumn id="7" xr3:uid="{24BE5444-EEC8-44A1-8B49-79261DDC1D84}" name="Commercial / industrial P export coefficient (kg/ha/yr)" dataDxfId="31"/>
    <tableColumn id="8" xr3:uid="{3D907FB1-AFBD-4D65-A7C1-7FCBDBA7E010}" name="Open urban P export coefficient (kg/ha/yr)" dataDxfId="30"/>
    <tableColumn id="9" xr3:uid="{659D953B-CEE1-475B-B79F-09EDE2124F89}" name="Residential N export coefficient (kg/ha/yr)" dataDxfId="29"/>
    <tableColumn id="10" xr3:uid="{B077E248-9579-43F2-9FD4-BCCA722D6FC1}" name="Commercial / industrial N export coefficient (kg/ha/yr)" dataDxfId="28"/>
    <tableColumn id="11" xr3:uid="{106BF2CF-BA30-4A6D-AF89-E886BEBDE8D6}" name="Open urban N export coefficient (kg/ha/yr)" dataDxfId="27"/>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3B43066-8BAE-497D-9A3B-467A3E8B6BB9}" name="Table13" displayName="Table13" ref="A15:M97" totalsRowShown="0" headerRowDxfId="26" dataDxfId="25">
  <autoFilter ref="A15:M97" xr:uid="{23B43066-8BAE-497D-9A3B-467A3E8B6B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8A049100-E13D-487C-A223-0735CFB09E81}" name="Catchment" dataDxfId="24"/>
    <tableColumn id="2" xr3:uid="{B8D75754-E7F8-4B85-993C-7907E45F1CAE}" name="Farmscoper Farm Term" dataDxfId="23"/>
    <tableColumn id="3" xr3:uid="{EC77A0A4-C437-4818-A316-7C71A29A7121}" name="NVZ" dataDxfId="22"/>
    <tableColumn id="4" xr3:uid="{B98F73F4-9677-4844-877F-8A359508FB3B}" name="Climate" dataDxfId="21"/>
    <tableColumn id="5" xr3:uid="{7C621915-7D3D-4055-8347-C883D9EE99FE}" name="Farmscoper Soil Drainage Term" dataDxfId="20"/>
    <tableColumn id="6" xr3:uid="{4C66E893-8377-439B-93D4-1CE695F419C9}" name="Lookup" dataDxfId="19">
      <calculatedColumnFormula>"|"&amp;"|"&amp;"|"&amp;E16</calculatedColumnFormula>
    </tableColumn>
    <tableColumn id="7" xr3:uid="{CF6B9BF0-3AFB-4049-8321-66DDFD8F9508}" name="Phosphorus export coefficient" dataDxfId="18"/>
    <tableColumn id="8" xr3:uid="{EBD2571A-6A4E-4448-BEB2-CCC5A7E48254}" name="Nitrogen export coefficient" dataDxfId="17"/>
    <tableColumn id="9" xr3:uid="{96CC571C-13E4-474B-8016-76B1B26E6BAE}" name="Farm Lookup" dataDxfId="16"/>
    <tableColumn id="10" xr3:uid="{511A3753-F9BA-45C6-B34A-6CC17D10251D}" name="Mean P export of farm type and climate combination" dataDxfId="15"/>
    <tableColumn id="11" xr3:uid="{A4A4CA5F-B40A-4D96-B1F7-2F58E7D4D811}" name="Mean N export of farm type and climate combination" dataDxfId="14"/>
    <tableColumn id="12" xr3:uid="{6A6F3AA5-4A40-440E-9BBC-E26F5AF39750}" name="Mean P export of farm type" dataDxfId="13"/>
    <tableColumn id="13" xr3:uid="{EF05C3C7-DB49-4B8E-8C81-E6CFAC3E3633}" name="Mean N export of farm type" dataDxfId="12"/>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297F6D2-7293-4422-8A67-AEAD142206BE}" name="Table14" displayName="Table14" ref="A4:J12" totalsRowShown="0" headerRowDxfId="11" dataDxfId="10">
  <autoFilter ref="A4:J12" xr:uid="{8297F6D2-7293-4422-8A67-AEAD142206B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8A0BD24-7BCD-463A-B827-831E2B2C2D72}" name="Discharge Site Name" dataDxfId="9"/>
    <tableColumn id="2" xr3:uid="{1CC474C8-63E1-4F68-A098-5E908E40DA49}" name="Phosphorus, Total as P (mg/l)" dataDxfId="8"/>
    <tableColumn id="3" xr3:uid="{2E3488FB-E48E-4A15-AFE7-EF2D95C19F27}" name="Nitrogen, Total as N (mg/l)" dataDxfId="7"/>
    <tableColumn id="4" xr3:uid="{94BDE985-E688-430A-9815-4EDF1FE7157B}" name="Phosphorus, Total as P (mg/l), permit post 2025" dataDxfId="6"/>
    <tableColumn id="5" xr3:uid="{8BCC1398-9B1F-4574-ACC3-119FC5E35CA6}" name="Nitrogen, Total as N (mg/l), permit post 2025" dataDxfId="5"/>
    <tableColumn id="6" xr3:uid="{FB3CD2EC-3EEF-41C1-B41D-97FDFB83D5D0}" name="Nitrogen Total as N (mg/l) with deductible acceptable loading" dataDxfId="4"/>
    <tableColumn id="7" xr3:uid="{9B3BFA6C-4F51-4202-90EE-5C006B8C8234}" name="Nitrogen Total as N (mg/l), permit post 2025 with deductible acceptable loading" dataDxfId="3"/>
    <tableColumn id="8" xr3:uid="{9DBCCBAD-4CC8-4875-97C0-F8A3AEBAC4ED}" name="Phosphorus, Total as P (mg/l), permit post 2030" dataDxfId="2"/>
    <tableColumn id="9" xr3:uid="{2ECB18E0-10A3-40CD-8028-D953C18B8F89}" name="Nitrogen, Total as N (mg/l), permit post 2030" dataDxfId="1"/>
    <tableColumn id="10" xr3:uid="{24B4A2AC-A6BF-4E36-BBFF-D86ACA0C2387}" name="Nitrogen Total as N (mg/l), permit post 2030 with deductible acceptable loading" dataDxfId="0"/>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4981484-4795-461F-A3C7-626CD012A06C}" name="Table_2_Links" displayName="Table_2_Links" ref="A40:B44" totalsRowShown="0" headerRowDxfId="125" dataDxfId="123" headerRowBorderDxfId="124" tableBorderDxfId="122" totalsRowBorderDxfId="121">
  <autoFilter ref="A40:B44" xr:uid="{64981484-4795-461F-A3C7-626CD012A06C}">
    <filterColumn colId="0" hiddenButton="1"/>
    <filterColumn colId="1" hiddenButton="1"/>
  </autoFilter>
  <tableColumns count="2">
    <tableColumn id="1" xr3:uid="{7B0543B4-03E3-4FAF-BFF9-98B834A2A253}" name="Description of the information:" dataDxfId="120"/>
    <tableColumn id="2" xr3:uid="{5C5EB3D3-CF00-43BE-8853-5602F78856CB}" name="Link" dataDxfId="119"/>
  </tableColumns>
  <tableStyleInfo name="Table Style 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1B5B190-0D99-4438-A727-7A56D64D1229}" name="Table_3_Water_Infrastructure" displayName="Table_3_Water_Infrastructure" ref="A4:C16" totalsRowShown="0" headerRowDxfId="116" dataDxfId="114" headerRowBorderDxfId="115" tableBorderDxfId="113" totalsRowBorderDxfId="112">
  <autoFilter ref="A4:C16" xr:uid="{A1B5B190-0D99-4438-A727-7A56D64D1229}">
    <filterColumn colId="0" hiddenButton="1"/>
    <filterColumn colId="1" hiddenButton="1"/>
    <filterColumn colId="2" hiddenButton="1"/>
  </autoFilter>
  <tableColumns count="3">
    <tableColumn id="1" xr3:uid="{CB73BF63-0885-411C-A54D-2DF95FDFC003}" name="Description of required information" dataDxfId="111"/>
    <tableColumn id="2" xr3:uid="{D22CDBE7-9B75-4248-A951-0D061DAA9F1C}" name="Data entry column" dataDxfId="110"/>
    <tableColumn id="4" xr3:uid="{20424A8D-23FA-4C1D-B394-6A4A0726E8D6}" name="Additional data entry column" dataDxfId="109"/>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0C45A2-2A77-478E-B226-DC5B3B2EA72E}" name="Table_4_Wastewater_Load" displayName="Table_4_Wastewater_Load" ref="A18:B29" totalsRowShown="0" headerRowDxfId="108" dataDxfId="106" headerRowBorderDxfId="107" tableBorderDxfId="105">
  <autoFilter ref="A18:B29" xr:uid="{B50C45A2-2A77-478E-B226-DC5B3B2EA72E}">
    <filterColumn colId="0" hiddenButton="1"/>
    <filterColumn colId="1" hiddenButton="1"/>
  </autoFilter>
  <tableColumns count="2">
    <tableColumn id="1" xr3:uid="{FA8C78F6-50A3-498F-8975-6D1EC817B86B}" name="Description of values generated" dataDxfId="104"/>
    <tableColumn id="2" xr3:uid="{150A0AA5-FDF2-4BA1-A9A8-36A566F3E6CC}" name="Values generated" dataDxfId="103"/>
  </tableColumns>
  <tableStyleInfo name="Table Style 1"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51AE02F-7B0C-4640-BEBD-8FD46432F29C}" name="Table_5_Site_Information" displayName="Table_5_Site_Information" ref="A4:B8" totalsRowShown="0" headerRowDxfId="101" dataDxfId="99" headerRowBorderDxfId="100" tableBorderDxfId="98" totalsRowBorderDxfId="97">
  <autoFilter ref="A4:B8" xr:uid="{E51AE02F-7B0C-4640-BEBD-8FD46432F29C}">
    <filterColumn colId="0" hiddenButton="1"/>
    <filterColumn colId="1" hiddenButton="1"/>
  </autoFilter>
  <tableColumns count="2">
    <tableColumn id="1" xr3:uid="{C513A266-837A-4378-8552-D156135B549F}" name="Description of required information" dataDxfId="96"/>
    <tableColumn id="2" xr3:uid="{9FEADC6D-D9F7-40A8-AB95-390DAB627A00}" name="Data entry Column" dataDxfId="95"/>
  </tableColumns>
  <tableStyleInfo name="Table Style 1"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F2DD0FD-3B2D-41B9-B376-162F1F698B17}" name="Table_6_Current_Land_Uses" displayName="Table_6_Current_Land_Uses" ref="A10:E28" totalsRowShown="0" headerRowDxfId="94" dataDxfId="92" headerRowBorderDxfId="93" tableBorderDxfId="91" totalsRowBorderDxfId="90">
  <autoFilter ref="A10:E28" xr:uid="{2F2DD0FD-3B2D-41B9-B376-162F1F698B17}">
    <filterColumn colId="0" hiddenButton="1"/>
    <filterColumn colId="1" hiddenButton="1"/>
    <filterColumn colId="2" hiddenButton="1"/>
    <filterColumn colId="3" hiddenButton="1"/>
    <filterColumn colId="4" hiddenButton="1"/>
  </autoFilter>
  <tableColumns count="5">
    <tableColumn id="1" xr3:uid="{2FA17B9E-8276-4D3C-A7AA-EA01ABD0CACA}" name="Existing land use type(s)" dataDxfId="89"/>
    <tableColumn id="2" xr3:uid="{DA6AF240-7DDF-40CC-B3C9-0A6C10900A68}" name="Area (ha)" dataDxfId="88"/>
    <tableColumn id="3" xr3:uid="{6E639853-0D25-4A34-A943-04CF61F257AF}" name="Annual phosphorus nutrient export  _x000a_(kg TP/yr)" dataDxfId="87"/>
    <tableColumn id="4" xr3:uid="{D46D9DE3-2913-45A9-81EF-5C0B16A60B70}" name="Annual nitrogen nutrient export  _x000a_(kg TN/yr)" dataDxfId="86"/>
    <tableColumn id="5" xr3:uid="{B35F3CE8-F7D9-4526-B8D6-064B09EE0E77}" name="Notes on data" dataDxfId="85"/>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57B598-0CAB-42EF-BD1C-CD9464EFF558}" name="Table_7_Future_Land_Uses" displayName="Table_7_Future_Land_Uses" ref="A4:D22" totalsRowShown="0" headerRowDxfId="84" dataDxfId="83">
  <autoFilter ref="A4:D22" xr:uid="{4057B598-0CAB-42EF-BD1C-CD9464EFF558}">
    <filterColumn colId="0" hiddenButton="1"/>
    <filterColumn colId="1" hiddenButton="1"/>
    <filterColumn colId="2" hiddenButton="1"/>
    <filterColumn colId="3" hiddenButton="1"/>
  </autoFilter>
  <tableColumns count="4">
    <tableColumn id="1" xr3:uid="{E733CC69-D292-417A-89E1-BDB32D6E70AE}" name="New land use type(s)" dataDxfId="82"/>
    <tableColumn id="2" xr3:uid="{2BF0443C-5885-452F-9860-409F1647E1C1}" name="Area (ha)" dataDxfId="81"/>
    <tableColumn id="3" xr3:uid="{25FC9D0F-4B95-491D-B24D-E74B3A1DBC98}" name="Annual phosphorus nutrient export _x000a_(kg TP/yr)" dataDxfId="80"/>
    <tableColumn id="4" xr3:uid="{D4EA72A6-0C9C-4A1E-8AAC-10EB38F195A8}" name="Annual nitrogen nutrient export_x000a_(kg TN/yr)" dataDxfId="79"/>
  </tableColumns>
  <tableStyleInfo name="TableStyleLight15"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03EF94-15E0-4810-ABD6-B7368F184575}" name="Table_8_SuDS_Features" displayName="Table_8_SuDS_Features" ref="A3:K29" totalsRowShown="0" headerRowDxfId="78" dataDxfId="77">
  <autoFilter ref="A3:K29" xr:uid="{9103EF94-15E0-4810-ABD6-B7368F1845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BEDF9EA9-1FAE-44BF-9739-66E3DB42A5C2}" name="New land use type(s) within SuDS catchment area" dataDxfId="76"/>
    <tableColumn id="2" xr3:uid="{72D29FD7-7898-4191-A97D-55B2AC2A6039}" name="SuDS catchment area (ha)" dataDxfId="75"/>
    <tableColumn id="10" xr3:uid="{C118AB6C-A0C7-46A0-B4D4-823E8172F281}" name="Percentage of flow entering the SuDS (%)" dataDxfId="74"/>
    <tableColumn id="3" xr3:uid="{ED81FC8E-03C3-4BFE-9F76-89B40F31A34D}" name="Annual phosphorus inputs to SuDS feature(s)_x000a_(kg TP/yr)" dataDxfId="73">
      <calculatedColumnFormula>IFERROR(IF(ISBLANK(A4),"",IF(ISBLANK(B4),"",VLOOKUP(A4,Nutrients_from_future_land_use!$A$5:$D$21,3,FALSE)*(100*B4/VLOOKUP(A4,Nutrients_from_future_land_use!$A$5:$D$21,2,FALSE)))),"")</calculatedColumnFormula>
    </tableColumn>
    <tableColumn id="4" xr3:uid="{C9DF269B-9235-47CA-9628-CA0EAEA7E887}" name="Annual nitrogen inputs to SuDS feature(s)_x000a_(kg TN/yr)" dataDxfId="72">
      <calculatedColumnFormula>IFERROR(IF(ISBLANK(A4),"",IF(ISBLANK(B4),"",VLOOKUP(A4,Nutrients_from_future_land_use!$A$5:$D$21,4,FALSE)*(B4/VLOOKUP(A4,Nutrients_from_future_land_use!$A$5:$D$21,2,FALSE)))),"")</calculatedColumnFormula>
    </tableColumn>
    <tableColumn id="5" xr3:uid="{95439CAD-05D0-4028-94D4-451B848D06FE}" name="Name of SuDS feature(s)" dataDxfId="71"/>
    <tableColumn id="7" xr3:uid="{C0ABEF49-1594-4E02-BF91-3B0541CD3C39}" name="TP removal rate for features - user specified (%)" dataDxfId="70"/>
    <tableColumn id="8" xr3:uid="{6CE040BE-33E5-44DA-B389-E1BC789E21E5}" name="TN removal rate for features - user specified (%)" dataDxfId="69">
      <calculatedColumnFormula>IF(OR(#REF!="No",ISBLANK(#REF!)),"",IF(#REF!="Yes","","TN removal rate - user specified (%)"))</calculatedColumnFormula>
    </tableColumn>
    <tableColumn id="13" xr3:uid="{AD318CD3-7F23-4854-891B-91CB70148FB9}" name="Annual phosphorus load removed by SuDS_x000a_(kg TP/yr)" dataDxfId="68"/>
    <tableColumn id="14" xr3:uid="{1156F97A-C06E-4041-A8E9-274F94CC02BE}" name="Annual nitrogen load removed by SuDS_x000a_(kg TP/yr)" dataDxfId="67"/>
    <tableColumn id="6" xr3:uid="{E06A970A-6835-4E49-9119-FEAF7BC8D4A0}" name="Notes on data" dataDxfId="66">
      <calculatedColumnFormula>IF(SUMIFS($B$4:$B$28,$A$4:$A$28,A4)&gt;SUMIFS(Nutrients_from_future_land_use!$B$5:$B$21,Nutrients_from_future_land_use!$A$5:$A$21,A4),"Area of new land covers within SuDS catchment area exceeds the area of new land covers proposed","")</calculatedColumnFormula>
    </tableColumn>
  </tableColumns>
  <tableStyleInfo name="TableStyleLight15"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0BD0106-977A-4B15-9C53-C66CDF6772BD}" name="Table_9_Final_Nutrient_Budgets" displayName="Table_9_Final_Nutrient_Budgets" ref="A4:B21" totalsRowShown="0" headerRowDxfId="65" dataDxfId="63" headerRowBorderDxfId="64" tableBorderDxfId="62" totalsRowBorderDxfId="61">
  <autoFilter ref="A4:B21" xr:uid="{A0BD0106-977A-4B15-9C53-C66CDF6772BD}">
    <filterColumn colId="0" hiddenButton="1"/>
    <filterColumn colId="1" hiddenButton="1"/>
  </autoFilter>
  <tableColumns count="2">
    <tableColumn id="1" xr3:uid="{31004191-352C-44A7-A242-30E88F4CD5ED}" name="Description of values generated" dataDxfId="60"/>
    <tableColumn id="2" xr3:uid="{C357CE45-1FD7-4EF9-804B-579D3A1CC1A7}" name="Values generated" dataDxfId="59"/>
  </tableColumns>
  <tableStyleInfo name="Table Style 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mapapps2.bgs.ac.uk/ukso/home.html?layers=NVZEng" TargetMode="External"/><Relationship Id="rId7" Type="http://schemas.openxmlformats.org/officeDocument/2006/relationships/table" Target="../tables/table2.xml"/><Relationship Id="rId2" Type="http://schemas.openxmlformats.org/officeDocument/2006/relationships/hyperlink" Target="https://www.landis.org.uk/soilscapes/" TargetMode="External"/><Relationship Id="rId1" Type="http://schemas.openxmlformats.org/officeDocument/2006/relationships/hyperlink" Target="http://environment.data.gov.uk/catchment-planning/"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nrfa.ceh.ac.uk/data/station/spatial/42023"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6.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table" Target="../tables/table10.xml"/><Relationship Id="rId1" Type="http://schemas.openxmlformats.org/officeDocument/2006/relationships/printerSettings" Target="../printerSettings/printerSettings7.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 Id="rId9" Type="http://schemas.openxmlformats.org/officeDocument/2006/relationships/table" Target="../tables/table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8E870-F6D2-45FD-BDCF-7C4BDF214AFB}">
  <dimension ref="A1:B66"/>
  <sheetViews>
    <sheetView tabSelected="1" zoomScaleNormal="100" workbookViewId="0"/>
  </sheetViews>
  <sheetFormatPr defaultColWidth="8.85546875" defaultRowHeight="15" x14ac:dyDescent="0.25"/>
  <cols>
    <col min="1" max="1" width="133.42578125" style="65" customWidth="1"/>
    <col min="2" max="2" width="44.85546875" style="65" customWidth="1"/>
    <col min="3" max="207" width="8.5703125" style="65" customWidth="1"/>
    <col min="208" max="16384" width="8.85546875" style="65"/>
  </cols>
  <sheetData>
    <row r="1" spans="1:2" ht="36.75" customHeight="1" x14ac:dyDescent="0.25">
      <c r="A1" s="13" t="s">
        <v>131</v>
      </c>
    </row>
    <row r="2" spans="1:2" ht="26.25" customHeight="1" x14ac:dyDescent="0.25">
      <c r="A2" s="66" t="s">
        <v>221</v>
      </c>
    </row>
    <row r="3" spans="1:2" ht="30.75" customHeight="1" x14ac:dyDescent="0.25">
      <c r="A3" s="66" t="s">
        <v>200</v>
      </c>
    </row>
    <row r="4" spans="1:2" ht="26.25" customHeight="1" x14ac:dyDescent="0.25">
      <c r="A4" s="66" t="s">
        <v>199</v>
      </c>
    </row>
    <row r="5" spans="1:2" ht="26.25" customHeight="1" x14ac:dyDescent="0.25">
      <c r="A5" s="67" t="s">
        <v>222</v>
      </c>
    </row>
    <row r="6" spans="1:2" ht="50.25" customHeight="1" x14ac:dyDescent="0.25">
      <c r="A6" s="67" t="s">
        <v>223</v>
      </c>
    </row>
    <row r="7" spans="1:2" ht="36" customHeight="1" x14ac:dyDescent="0.25">
      <c r="A7" s="67" t="s">
        <v>224</v>
      </c>
    </row>
    <row r="8" spans="1:2" ht="28.5" customHeight="1" x14ac:dyDescent="0.25">
      <c r="A8" s="12" t="s">
        <v>125</v>
      </c>
    </row>
    <row r="9" spans="1:2" ht="15.75" x14ac:dyDescent="0.25">
      <c r="A9" s="14" t="s">
        <v>126</v>
      </c>
      <c r="B9" s="14" t="s">
        <v>127</v>
      </c>
    </row>
    <row r="10" spans="1:2" ht="16.5" customHeight="1" x14ac:dyDescent="0.25">
      <c r="A10" s="68" t="s">
        <v>225</v>
      </c>
      <c r="B10" s="69" t="s">
        <v>128</v>
      </c>
    </row>
    <row r="11" spans="1:2" ht="16.5" customHeight="1" x14ac:dyDescent="0.25">
      <c r="A11" s="68" t="s">
        <v>226</v>
      </c>
      <c r="B11" s="69" t="s">
        <v>129</v>
      </c>
    </row>
    <row r="12" spans="1:2" ht="16.5" customHeight="1" x14ac:dyDescent="0.25">
      <c r="A12" s="68" t="s">
        <v>227</v>
      </c>
      <c r="B12" s="69" t="s">
        <v>130</v>
      </c>
    </row>
    <row r="13" spans="1:2" ht="16.5" customHeight="1" x14ac:dyDescent="0.25">
      <c r="A13" s="68" t="s">
        <v>228</v>
      </c>
      <c r="B13" s="69" t="s">
        <v>153</v>
      </c>
    </row>
    <row r="14" spans="1:2" ht="16.5" customHeight="1" x14ac:dyDescent="0.25">
      <c r="A14" s="68" t="s">
        <v>229</v>
      </c>
      <c r="B14" s="69" t="s">
        <v>154</v>
      </c>
    </row>
    <row r="15" spans="1:2" ht="33" customHeight="1" x14ac:dyDescent="0.25">
      <c r="A15" s="12" t="s">
        <v>157</v>
      </c>
      <c r="B15" s="70"/>
    </row>
    <row r="16" spans="1:2" ht="20.25" customHeight="1" x14ac:dyDescent="0.25">
      <c r="A16" s="66" t="s">
        <v>132</v>
      </c>
    </row>
    <row r="17" spans="1:1" ht="36.75" customHeight="1" x14ac:dyDescent="0.25">
      <c r="A17" s="66" t="s">
        <v>179</v>
      </c>
    </row>
    <row r="18" spans="1:1" ht="36.75" customHeight="1" x14ac:dyDescent="0.25">
      <c r="A18" s="66" t="s">
        <v>245</v>
      </c>
    </row>
    <row r="19" spans="1:1" ht="63.75" customHeight="1" x14ac:dyDescent="0.25">
      <c r="A19" s="66" t="s">
        <v>230</v>
      </c>
    </row>
    <row r="20" spans="1:1" ht="33" customHeight="1" x14ac:dyDescent="0.25">
      <c r="A20" s="66" t="s">
        <v>156</v>
      </c>
    </row>
    <row r="21" spans="1:1" ht="18.75" customHeight="1" x14ac:dyDescent="0.25">
      <c r="A21" s="3" t="s">
        <v>231</v>
      </c>
    </row>
    <row r="22" spans="1:1" ht="32.25" customHeight="1" x14ac:dyDescent="0.25">
      <c r="A22" s="66" t="s">
        <v>135</v>
      </c>
    </row>
    <row r="23" spans="1:1" s="4" customFormat="1" x14ac:dyDescent="0.25">
      <c r="A23" s="2" t="s">
        <v>158</v>
      </c>
    </row>
    <row r="24" spans="1:1" ht="36" customHeight="1" x14ac:dyDescent="0.25">
      <c r="A24" s="66" t="s">
        <v>232</v>
      </c>
    </row>
    <row r="25" spans="1:1" ht="51" customHeight="1" x14ac:dyDescent="0.25">
      <c r="A25" s="66" t="s">
        <v>133</v>
      </c>
    </row>
    <row r="26" spans="1:1" ht="34.5" customHeight="1" x14ac:dyDescent="0.25">
      <c r="A26" s="66" t="s">
        <v>134</v>
      </c>
    </row>
    <row r="27" spans="1:1" ht="36" customHeight="1" x14ac:dyDescent="0.25">
      <c r="A27" s="12" t="s">
        <v>214</v>
      </c>
    </row>
    <row r="28" spans="1:1" ht="20.25" customHeight="1" x14ac:dyDescent="0.25">
      <c r="A28" s="65" t="s">
        <v>164</v>
      </c>
    </row>
    <row r="29" spans="1:1" ht="50.25" customHeight="1" x14ac:dyDescent="0.25">
      <c r="A29" s="65" t="s">
        <v>233</v>
      </c>
    </row>
    <row r="30" spans="1:1" ht="51.75" customHeight="1" x14ac:dyDescent="0.25">
      <c r="A30" s="65" t="s">
        <v>163</v>
      </c>
    </row>
    <row r="31" spans="1:1" ht="84.75" customHeight="1" x14ac:dyDescent="0.25">
      <c r="A31" s="65" t="s">
        <v>180</v>
      </c>
    </row>
    <row r="32" spans="1:1" ht="79.5" customHeight="1" x14ac:dyDescent="0.25">
      <c r="A32" s="65" t="s">
        <v>136</v>
      </c>
    </row>
    <row r="33" spans="1:2" ht="36" customHeight="1" x14ac:dyDescent="0.25">
      <c r="A33" s="65" t="s">
        <v>234</v>
      </c>
    </row>
    <row r="34" spans="1:2" ht="66.75" customHeight="1" x14ac:dyDescent="0.25">
      <c r="A34" s="65" t="s">
        <v>253</v>
      </c>
    </row>
    <row r="35" spans="1:2" ht="35.25" customHeight="1" x14ac:dyDescent="0.25">
      <c r="A35" s="12" t="s">
        <v>213</v>
      </c>
    </row>
    <row r="36" spans="1:2" ht="79.5" customHeight="1" x14ac:dyDescent="0.25">
      <c r="A36" s="3" t="s">
        <v>181</v>
      </c>
    </row>
    <row r="37" spans="1:2" ht="66.75" customHeight="1" x14ac:dyDescent="0.25">
      <c r="A37" s="3" t="s">
        <v>235</v>
      </c>
    </row>
    <row r="38" spans="1:2" ht="18" customHeight="1" x14ac:dyDescent="0.25">
      <c r="A38" s="3" t="s">
        <v>236</v>
      </c>
    </row>
    <row r="39" spans="1:2" ht="33.75" customHeight="1" x14ac:dyDescent="0.25">
      <c r="A39" s="12" t="s">
        <v>165</v>
      </c>
    </row>
    <row r="40" spans="1:2" ht="15.75" x14ac:dyDescent="0.25">
      <c r="A40" s="64" t="s">
        <v>170</v>
      </c>
      <c r="B40" s="102" t="s">
        <v>167</v>
      </c>
    </row>
    <row r="41" spans="1:2" ht="31.5" customHeight="1" x14ac:dyDescent="0.25">
      <c r="A41" s="35" t="s">
        <v>237</v>
      </c>
      <c r="B41" s="103" t="s">
        <v>172</v>
      </c>
    </row>
    <row r="42" spans="1:2" ht="19.5" customHeight="1" x14ac:dyDescent="0.25">
      <c r="A42" s="71" t="s">
        <v>238</v>
      </c>
      <c r="B42" s="103" t="s">
        <v>173</v>
      </c>
    </row>
    <row r="43" spans="1:2" ht="35.25" customHeight="1" x14ac:dyDescent="0.25">
      <c r="A43" s="71" t="s">
        <v>239</v>
      </c>
      <c r="B43" s="103" t="s">
        <v>174</v>
      </c>
    </row>
    <row r="44" spans="1:2" ht="32.25" customHeight="1" x14ac:dyDescent="0.25">
      <c r="A44" s="72" t="s">
        <v>166</v>
      </c>
      <c r="B44" s="104" t="s">
        <v>175</v>
      </c>
    </row>
    <row r="45" spans="1:2" ht="28.5" customHeight="1" x14ac:dyDescent="0.25">
      <c r="A45" s="82" t="s">
        <v>212</v>
      </c>
      <c r="B45" s="81"/>
    </row>
    <row r="46" spans="1:2" ht="51.75" customHeight="1" x14ac:dyDescent="0.25">
      <c r="A46" s="3" t="s">
        <v>240</v>
      </c>
    </row>
    <row r="47" spans="1:2" ht="68.25" customHeight="1" x14ac:dyDescent="0.25">
      <c r="A47" s="3" t="s">
        <v>182</v>
      </c>
    </row>
    <row r="48" spans="1:2" ht="22.5" customHeight="1" x14ac:dyDescent="0.25">
      <c r="A48" s="3" t="s">
        <v>236</v>
      </c>
    </row>
    <row r="49" spans="1:1" ht="39.75" customHeight="1" x14ac:dyDescent="0.25">
      <c r="A49" s="12" t="s">
        <v>241</v>
      </c>
    </row>
    <row r="50" spans="1:1" ht="36.75" customHeight="1" x14ac:dyDescent="0.25">
      <c r="A50" s="20" t="s">
        <v>215</v>
      </c>
    </row>
    <row r="51" spans="1:1" ht="152.25" customHeight="1" x14ac:dyDescent="0.25">
      <c r="A51" s="20" t="s">
        <v>242</v>
      </c>
    </row>
    <row r="52" spans="1:1" ht="39.75" customHeight="1" x14ac:dyDescent="0.25">
      <c r="A52" s="12" t="s">
        <v>149</v>
      </c>
    </row>
    <row r="53" spans="1:1" ht="35.25" customHeight="1" x14ac:dyDescent="0.25">
      <c r="A53" s="3" t="s">
        <v>243</v>
      </c>
    </row>
    <row r="54" spans="1:1" ht="23.25" customHeight="1" x14ac:dyDescent="0.25">
      <c r="A54" s="3" t="s">
        <v>244</v>
      </c>
    </row>
    <row r="55" spans="1:1" ht="39" customHeight="1" x14ac:dyDescent="0.25">
      <c r="A55" s="3" t="s">
        <v>171</v>
      </c>
    </row>
    <row r="66" spans="1:1" ht="15.75" x14ac:dyDescent="0.25">
      <c r="A66" s="73"/>
    </row>
  </sheetData>
  <sheetProtection algorithmName="SHA-512" hashValue="gfW54VKx+w7vhFhnXOiXKNfnKg6xheD862A8N+59gwDH2u0TgUjBlxF/yFKz71oepWT24nd+WCOymvuMoRAQvA==" saltValue="Z141HOK/yzxzy2MZ3OE9Cw==" spinCount="100000" sheet="1" objects="1" scenarios="1"/>
  <hyperlinks>
    <hyperlink ref="B10" location="Nutrients_from_wastewater!A1" display="Nutrients from wastewater" xr:uid="{E36A1043-AB91-4942-BD3A-CCA4FEFDBABA}"/>
    <hyperlink ref="B11" location="Nutrients_from_current_land_use!A1" display="Nutrients from current land use" xr:uid="{CFF94702-FC5B-4FE0-9876-AD7BF54E11C4}"/>
    <hyperlink ref="B12" location="Nutrients_from_future_land_use!A1" display="Nutrients from future land use" xr:uid="{071ABFEB-913E-4634-A3E2-439DCBD9E445}"/>
    <hyperlink ref="B14" location="Final_nutrient_budgets!A1" display="Final_nutrient_budgets" xr:uid="{60A04C2C-8C4C-42F0-9154-88681F7D2227}"/>
    <hyperlink ref="B13" location="SuDS!A1" display="SuDS" xr:uid="{253465E3-58BA-4871-ADD4-19A1C27D809E}"/>
    <hyperlink ref="B41" r:id="rId1" xr:uid="{0F48C9B9-026B-4FFB-ACBE-0F8CA6240AAD}"/>
    <hyperlink ref="B42" r:id="rId2" location="." xr:uid="{2871AC31-C0A3-4C0A-B4E6-5BD88AD10E7B}"/>
    <hyperlink ref="B44" r:id="rId3" xr:uid="{B825DA77-EE8A-4059-989B-D2381E895B1A}"/>
    <hyperlink ref="B43" r:id="rId4" xr:uid="{8E480430-51C5-4A14-AE96-60F3A62EC698}"/>
  </hyperlinks>
  <pageMargins left="0.7" right="0.7" top="0.75" bottom="0.75" header="0.3" footer="0.3"/>
  <pageSetup paperSize="9" orientation="portrait" r:id="rId5"/>
  <tableParts count="2">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79791-A2B2-4FDF-A938-890D430B0AEC}">
  <dimension ref="A1:D29"/>
  <sheetViews>
    <sheetView zoomScaleNormal="100" workbookViewId="0"/>
  </sheetViews>
  <sheetFormatPr defaultColWidth="8.85546875" defaultRowHeight="15" x14ac:dyDescent="0.2"/>
  <cols>
    <col min="1" max="1" width="115.140625" style="92" customWidth="1"/>
    <col min="2" max="2" width="54.7109375" style="92" customWidth="1"/>
    <col min="3" max="3" width="34.28515625" style="92" customWidth="1"/>
    <col min="4" max="6" width="30.5703125" style="92" customWidth="1"/>
    <col min="7" max="360" width="8.5703125" style="92" customWidth="1"/>
    <col min="361" max="16384" width="8.85546875" style="92"/>
  </cols>
  <sheetData>
    <row r="1" spans="1:4" ht="50.25" customHeight="1" x14ac:dyDescent="0.2">
      <c r="A1" s="41" t="s">
        <v>128</v>
      </c>
    </row>
    <row r="2" spans="1:4" ht="409.5" customHeight="1" x14ac:dyDescent="0.2">
      <c r="A2" s="32" t="s">
        <v>252</v>
      </c>
    </row>
    <row r="3" spans="1:4" ht="37.5" customHeight="1" x14ac:dyDescent="0.2">
      <c r="A3" s="99" t="s">
        <v>142</v>
      </c>
      <c r="B3" s="42"/>
      <c r="C3" s="2"/>
    </row>
    <row r="4" spans="1:4" ht="18.75" customHeight="1" x14ac:dyDescent="0.2">
      <c r="A4" s="64" t="s">
        <v>176</v>
      </c>
      <c r="B4" s="59" t="s">
        <v>177</v>
      </c>
      <c r="C4" s="59" t="s">
        <v>178</v>
      </c>
    </row>
    <row r="5" spans="1:4" ht="18.75" customHeight="1" x14ac:dyDescent="0.2">
      <c r="A5" s="10" t="s">
        <v>141</v>
      </c>
      <c r="B5" s="43"/>
      <c r="C5" s="93"/>
    </row>
    <row r="6" spans="1:4" ht="18.75" customHeight="1" x14ac:dyDescent="0.2">
      <c r="A6" s="10" t="s">
        <v>246</v>
      </c>
      <c r="B6" s="17">
        <v>2.4</v>
      </c>
      <c r="C6" s="93"/>
    </row>
    <row r="7" spans="1:4" ht="18.75" customHeight="1" x14ac:dyDescent="0.2">
      <c r="A7" s="10" t="s">
        <v>137</v>
      </c>
      <c r="B7" s="44">
        <v>120</v>
      </c>
      <c r="C7" s="93"/>
    </row>
    <row r="8" spans="1:4" ht="18.75" customHeight="1" x14ac:dyDescent="0.2">
      <c r="A8" s="10" t="s">
        <v>138</v>
      </c>
      <c r="B8" s="44"/>
      <c r="C8" s="93"/>
    </row>
    <row r="9" spans="1:4" ht="18.75" customHeight="1" x14ac:dyDescent="0.2">
      <c r="A9" s="10" t="s">
        <v>124</v>
      </c>
      <c r="B9" s="44"/>
      <c r="C9" s="93"/>
    </row>
    <row r="10" spans="1:4" ht="18.75" customHeight="1" x14ac:dyDescent="0.2">
      <c r="A10" s="10" t="s">
        <v>0</v>
      </c>
      <c r="B10" s="44"/>
      <c r="C10" s="93"/>
    </row>
    <row r="11" spans="1:4" ht="18.75" customHeight="1" x14ac:dyDescent="0.2">
      <c r="A11" s="10" t="s">
        <v>219</v>
      </c>
      <c r="B11" s="45" t="str">
        <f>(IFERROR(IF(OR(B10="Package Treatment Plant user defined",B10="Septic Tank user defined"),"Please enter value in cell to the right:",IF(Nutrients_from_wastewater!B5&lt;DATE(2025,1,1),VLOOKUP(Nutrients_from_wastewater!B10,Value_look_up_tables!A5:J13,2,FALSE),IF(Nutrients_from_wastewater!B5&lt;DATE(2030,4,1),VLOOKUP(Nutrients_from_wastewater!B10,Value_look_up_tables!A5:J13,4,FALSE),VLOOKUP(Nutrients_from_wastewater!B10,Value_look_up_tables!A5:J12,8,FALSE)))),""))</f>
        <v/>
      </c>
      <c r="C11" s="94"/>
    </row>
    <row r="12" spans="1:4" ht="18.75" customHeight="1" x14ac:dyDescent="0.2">
      <c r="A12" s="10" t="s">
        <v>220</v>
      </c>
      <c r="B12" s="45" t="str">
        <f>IFERROR(IF(OR(B10="Package Treatment Plant user defined",B10="Septic Tank user defined"),"Please enter value in cell to the right:",IF(AND(B5&lt;DATE(2025,1,1),B9="Yes"),VLOOKUP(B10,Value_look_up_tables!$A$5:$J$12,6,FALSE),IF(AND(B5&lt;DATE(2025,1,1),OR(B9="No",B9="")),VLOOKUP(B10,Value_look_up_tables!$A$5:$J$12,3,FALSE),IF(AND(B5&lt;DATE(2030,4,1),B5&gt;=DATE(2025,1,1),B9="Yes"),VLOOKUP(B10,Value_look_up_tables!$A$5:$J$12,7,FALSE),IF(AND(B5&lt;DATE(2030,4,1),B5&gt;=DATE(2025,1,1),OR(B9="No",B9="")),IF(AND(B5&lt;DATE(2030,4,1),B9="Yes"),VLOOKUP(B10,Value_look_up_tables!$A$5:$J$12,6,FALSE),IF(AND(B5&lt;DATE(2030,4,1),OR(B9="No",B9="")),VLOOKUP(B10,Value_look_up_tables!$A$5:$J$12,5,FALSE),IF(AND(B5&gt;=DATE(2030,4,1),B9="Yes"),VLOOKUP(B10,Value_look_up_tables!$A$5:$J$12,10,FALSE),IF(AND(B5&gt;=DATE(2030,4,1),OR(B9="No",B9="")),VLOOKUP(B10,Value_look_up_tables!$A$5:$J$12,9,FALSE),"")))),IF(B9="Yes",VLOOKUP(B10,Value_look_up_tables!$A$5:$J$12,10,FALSE),VLOOKUP(B10,Value_look_up_tables!$A$5:$J$12,9,FALSE))))))),"")</f>
        <v/>
      </c>
      <c r="C12" s="94"/>
      <c r="D12" s="95"/>
    </row>
    <row r="13" spans="1:4" ht="18.75" customHeight="1" x14ac:dyDescent="0.2">
      <c r="A13" s="10" t="str">
        <f>IFERROR(IF(AND($B$5&lt;DATE(2025,1,1),(VLOOKUP($B$10,Value_look_up_tables!$A$5:$E$10,2,FALSE))&gt;(VLOOKUP($B$10,Value_look_up_tables!$A$5:$E$10,4,FALSE))), "Post 2025 WwTW P permit (mg TP/litre):",""),"")</f>
        <v/>
      </c>
      <c r="B13" s="45" t="str">
        <f>IFERROR(IF(AND($B$5&lt;DATE(2025,1,1),(VLOOKUP($B$10,Value_look_up_tables!$A$5:$E$10,2,FALSE))&gt;(VLOOKUP($B$10,Value_look_up_tables!$A$5:$E$10,4,FALSE))), VLOOKUP($B$10,Value_look_up_tables!A5:E13,4,FALSE),""),"")</f>
        <v/>
      </c>
      <c r="C13" s="93"/>
    </row>
    <row r="14" spans="1:4" ht="18.75" customHeight="1" x14ac:dyDescent="0.2">
      <c r="A14" s="10" t="str">
        <f>IFERROR(IF(AND($B$5&lt;DATE(2025,1,1),(VLOOKUP($B$10,Value_look_up_tables!$A$5:$E$10,3,FALSE))&gt;(VLOOKUP($B$10,Value_look_up_tables!$A$5:$E$10,5,FALSE))), "Post 2025 WwTW N permit (mg TN/litre):",""),"")</f>
        <v/>
      </c>
      <c r="B14" s="45" t="str">
        <f>IFERROR(IF(AND($B$5&lt;DATE(2025,1,1),(VLOOKUP($B$10,Value_look_up_tables!$A$5:$J$10,3,FALSE))&gt;(VLOOKUP($B$10,Value_look_up_tables!$A$5:$J$10,5,FALSE))), IF(B9="Yes",VLOOKUP(B10,Value_look_up_tables!$A$5:$J$13,7,FALSE),VLOOKUP(B10,Value_look_up_tables!$A$5:$J$13,5,FALSE)),""),"")</f>
        <v/>
      </c>
      <c r="C14" s="93"/>
    </row>
    <row r="15" spans="1:4" ht="18.75" customHeight="1" x14ac:dyDescent="0.2">
      <c r="A15" s="10" t="str">
        <f>IFERROR(IF(AND($B$5&lt;DATE(2030,4,1),(VLOOKUP($B$10,Value_look_up_tables!$A$5:$J$10,4,FALSE))&gt;(VLOOKUP($B$10,Value_look_up_tables!$A$5:$J$10,8,FALSE))), "Post 2030 WwTW P permit (mg TP/litre):",""),"")</f>
        <v/>
      </c>
      <c r="B15" s="45" t="str">
        <f>IFERROR(IF(AND($B$5&lt;DATE(2030,4,1),(VLOOKUP($B$10,Value_look_up_tables!$A$5:$J$10,4,FALSE))&gt;(VLOOKUP($B$10,Value_look_up_tables!$A$5:$J$10,8,FALSE))), VLOOKUP($B$10,Value_look_up_tables!A5:J13,8,FALSE),""),"")</f>
        <v/>
      </c>
      <c r="C15" s="93"/>
    </row>
    <row r="16" spans="1:4" ht="18.75" customHeight="1" x14ac:dyDescent="0.2">
      <c r="A16" s="7" t="str">
        <f>IFERROR(IF(AND($B$5&lt;DATE(2030,4,1),(VLOOKUP($B$10,Value_look_up_tables!$A$5:$J$10,5,FALSE))&gt;(VLOOKUP($B$10,Value_look_up_tables!$A$5:$J$10,9,FALSE))), "Post 2030 WwTW N permit (mg TN/litre):",""),"")</f>
        <v/>
      </c>
      <c r="B16" s="18" t="str">
        <f>IFERROR(IF(AND($B$5&lt;DATE(2030,4,1),(VLOOKUP($B$10,Value_look_up_tables!$A$5:$J$10,5,FALSE))&gt;(VLOOKUP($B$10,Value_look_up_tables!$A$5:$J$10,9,FALSE))), IF(B9="Yes",VLOOKUP(B10,Value_look_up_tables!$A$5:$J$13,10,FALSE),VLOOKUP(B10,Value_look_up_tables!$A$5:$J$13,9,FALSE)),""),"")</f>
        <v/>
      </c>
      <c r="C16" s="96"/>
    </row>
    <row r="17" spans="1:3" ht="38.25" customHeight="1" x14ac:dyDescent="0.2">
      <c r="A17" s="91" t="s">
        <v>143</v>
      </c>
      <c r="B17" s="46"/>
    </row>
    <row r="18" spans="1:3" ht="21" customHeight="1" x14ac:dyDescent="0.2">
      <c r="A18" s="58" t="s">
        <v>168</v>
      </c>
      <c r="B18" s="59" t="s">
        <v>169</v>
      </c>
      <c r="C18" s="97"/>
    </row>
    <row r="19" spans="1:3" ht="18.75" customHeight="1" x14ac:dyDescent="0.2">
      <c r="A19" s="84" t="str">
        <f>IFERROR(IF(AND($B$5&lt;DATE(2030,4,1),OR((VLOOKUP($B$10,Value_look_up_tables!$A$5:$J$10,4,FALSE))&gt;(VLOOKUP($B$10,Value_look_up_tables!$A$5:$J$10,8,FALSE)),(VLOOKUP($B$10,Value_look_up_tables!$A$5:$J$10,5,FALSE))&gt;(VLOOKUP($B$10,Value_look_up_tables!$A$5:$J$10,9,FALSE)))),"Post-2030 Stage 1 Nutrient Loading",IF(AND($B$5&lt;DATE(2025,1,1),OR((VLOOKUP($B$10,Value_look_up_tables!$A$5:$E$10,2,FALSE))&gt;(VLOOKUP($B$10,Value_look_up_tables!$A$5:$E$10,4,FALSE)),(VLOOKUP($B$10,Value_look_up_tables!$A$5:$E$10,3,FALSE))&gt;(VLOOKUP($B$10,Value_look_up_tables!$A$5:$E$10,5,FALSE)))),"Post-2025 Stage 1 Nutrient Loading","Stage 1 Nutrient Loading")),"")</f>
        <v/>
      </c>
      <c r="B19" s="98"/>
    </row>
    <row r="20" spans="1:3" ht="18.75" customHeight="1" x14ac:dyDescent="0.2">
      <c r="A20" s="8" t="s">
        <v>159</v>
      </c>
      <c r="B20" s="47" t="str">
        <f>IF(ISBLANK(B8),"",B6*B8)</f>
        <v/>
      </c>
    </row>
    <row r="21" spans="1:3" ht="18.75" customHeight="1" x14ac:dyDescent="0.2">
      <c r="A21" s="9" t="s">
        <v>160</v>
      </c>
      <c r="B21" s="18" t="str">
        <f>IFERROR(B20*B7,"")</f>
        <v/>
      </c>
    </row>
    <row r="22" spans="1:3" ht="18.75" customHeight="1" x14ac:dyDescent="0.2">
      <c r="A22" s="9" t="s">
        <v>161</v>
      </c>
      <c r="B22" s="18" t="str">
        <f>IFERROR(ROUND(IF(ISNUMBER(B15),B15*B21*0.9/1000000*365.25,IF(ISNUMBER(B13),B13*B21*0.9/1000000*365.25,IF(B11="Please enter value in cell to the right:",IF(AND(B11="Please enter value in cell to the right:",ISNUMBER(C11)),B21*C11/1000000*365.25, VLOOKUP((LEFT(B10,(LEN(B10)-13))&amp;" default"),Value_look_up_tables!$A$9:$C$10,2,FALSE)*B21/1000000*365.25),IF(OR(B10="Package Treatment Plant default",B10="Septic Tank default"),B11*B21/1000000*365.25,IF(B11=8,B11*B21/1000000*365.25,B11*B21*0.9/1000000*365.25))))),2),"")</f>
        <v/>
      </c>
    </row>
    <row r="23" spans="1:3" ht="18.75" customHeight="1" x14ac:dyDescent="0.2">
      <c r="A23" s="9" t="s">
        <v>162</v>
      </c>
      <c r="B23" s="18" t="str">
        <f>IFERROR(ROUND(IF(ISNUMBER(B16),B16*B21*0.9/1000000*365.25,IF(ISNUMBER(B14),B14*B21*0.9/1000000*365.25,IF(B12="Please enter value in cell to the right:",IF(AND(B12="Please enter value in cell to the right:",ISNUMBER(C12)),B21*(IF(C12-2&lt;0,C12,C12-2))/1000000*365.25, VLOOKUP((LEFT(B10,(LEN(B10)-13))&amp;" default"),Value_look_up_tables!$A$9:$C$10,3,FALSE)*B21/1000000*365.25),IF(OR(B10="Package Treatment Plant default",B10="Septic Tank default"),B12*B21/1000000*365.25,IF(OR(B12=25,B12=27),B12*B21/1000000*365.25,B12*B21*0.9/1000000*365.25))))),2),"")</f>
        <v/>
      </c>
    </row>
    <row r="24" spans="1:3" ht="18.75" customHeight="1" x14ac:dyDescent="0.2">
      <c r="A24" s="85" t="str">
        <f>IFERROR(IF(AND($B$5&lt;DATE(2030,4,1),OR((VLOOKUP($B$10,Value_look_up_tables!$A$5:$J$10,4,FALSE))&gt;(VLOOKUP($B$10,Value_look_up_tables!$A$5:$J$10,8,FALSE)),(VLOOKUP($B$10,Value_look_up_tables!$A$5:$J$10,5,FALSE))&gt;(VLOOKUP($B$10,Value_look_up_tables!$A$5:$J$10,9,FALSE)))),"Pre-2030 Stage 1 Nutrient Loading",IF(AND($B$5&lt;DATE(2025,1,1),OR((VLOOKUP($B$10,Value_look_up_tables!$A$5:$E$10,2,FALSE))&gt;(VLOOKUP($B$10,Value_look_up_tables!$A$5:$E$10,4,FALSE)),(VLOOKUP($B$10,Value_look_up_tables!$A$5:$E$10,3,FALSE))&gt;(VLOOKUP($B$10,Value_look_up_tables!$A$5:$E$10,5,FALSE)))),"Pre-2025 Stage 1 Nutrient Loading","")),"")</f>
        <v/>
      </c>
      <c r="B24" s="86"/>
    </row>
    <row r="25" spans="1:3" ht="18.75" customHeight="1" x14ac:dyDescent="0.2">
      <c r="A25" s="8" t="str">
        <f>IFERROR(IF(AND($B$5&lt;DATE(2030,4,1),OR((VLOOKUP($B$10,Value_look_up_tables!$A$5:$J$10,4,FALSE))&gt;(VLOOKUP($B$10,Value_look_up_tables!$A$5:$J$10,8,FALSE)),(VLOOKUP($B$10,Value_look_up_tables!$A$5:$J$10,5,FALSE))&gt;(VLOOKUP($B$10,Value_look_up_tables!$A$5:$J$10,9,FALSE)),(VLOOKUP($B$10,Value_look_up_tables!$A$5:$J$10,2,FALSE))&gt;(VLOOKUP($B$10,Value_look_up_tables!$A$5:$J$10,8,FALSE)),(VLOOKUP($B$10,Value_look_up_tables!$A$5:$J$10,3,FALSE))&gt;(VLOOKUP($B$10,Value_look_up_tables!$A$5:$J$10,9,FALSE)))),"Annual wastewater TP load (kg TP/yr):",""),"")</f>
        <v/>
      </c>
      <c r="B25" s="49" t="str">
        <f>IFERROR(ROUND(IF(AND($B$5&lt;DATE(2030,4,1),OR((VLOOKUP($B$10,Value_look_up_tables!$A$5:$J$10,4,FALSE))&gt;(VLOOKUP($B$10,Value_look_up_tables!$A$5:$J$10,8,FALSE)),(VLOOKUP($B$10,Value_look_up_tables!$A$5:$J$10,5,FALSE))&gt;(VLOOKUP($B$10,Value_look_up_tables!$A$5:$J$10,9,FALSE)),(VLOOKUP($B$10,Value_look_up_tables!$A$5:$J$10,2,FALSE))&gt;(VLOOKUP($B$10,Value_look_up_tables!$A$5:$J$10,8,FALSE)),(VLOOKUP($B$10,Value_look_up_tables!$A$5:$J$10,3,FALSE))&gt;(VLOOKUP($B$10,Value_look_up_tables!$A$5:$J$10,9,FALSE)))),IF(ISNUMBER(B13),IF(B13=8,(B13*B$21)/1000000*365.25,(B13*B$21*0.9)/1000000*365.25),IF(B11=8,(B11*B$21)/1000000*365.25,(B11*B$21*0.9)/1000000*365.25)),""),2),"")</f>
        <v/>
      </c>
    </row>
    <row r="26" spans="1:3" ht="18.75" customHeight="1" x14ac:dyDescent="0.2">
      <c r="A26" s="8" t="str">
        <f>IFERROR(IF(AND($B$5&lt;DATE(2030,4,1),OR((VLOOKUP($B$10,Value_look_up_tables!$A$5:$J$10,4,FALSE))&gt;(VLOOKUP($B$10,Value_look_up_tables!$A$5:$J$10,8,FALSE)),(VLOOKUP($B$10,Value_look_up_tables!$A$5:$J$10,5,FALSE))&gt;(VLOOKUP($B$10,Value_look_up_tables!$A$5:$J$10,9,FALSE)),(VLOOKUP($B$10,Value_look_up_tables!$A$5:$J$10,2,FALSE))&gt;(VLOOKUP($B$10,Value_look_up_tables!$A$5:$J$10,8,FALSE)),(VLOOKUP($B$10,Value_look_up_tables!$A$5:$J$10,3,FALSE))&gt;(VLOOKUP($B$10,Value_look_up_tables!$A$5:$J$10,9,FALSE)))),"Annual wastewater TN load (kg TN/yr):",""),"")</f>
        <v/>
      </c>
      <c r="B26" s="49" t="str">
        <f>IFERROR(ROUND(IF(AND($B$5&lt;DATE(2030,4,1),OR((VLOOKUP($B$10,Value_look_up_tables!$A$5:$J$10,4,FALSE))&gt;(VLOOKUP($B$10,Value_look_up_tables!$A$5:$J$10,8,FALSE)),(VLOOKUP($B$10,Value_look_up_tables!$A$5:$J$10,5,FALSE))&gt;(VLOOKUP($B$10,Value_look_up_tables!$A$5:$J$10,9,FALSE)),(VLOOKUP($B$10,Value_look_up_tables!$A$5:$J$10,2,FALSE))&gt;(VLOOKUP($B$10,Value_look_up_tables!$A$5:$J$10,8,FALSE)),(VLOOKUP($B$10,Value_look_up_tables!$A$5:$J$10,3,FALSE))&gt;(VLOOKUP($B$10,Value_look_up_tables!$A$5:$J$10,9,FALSE)))),IF(ISNUMBER(B14),IF(OR(B14=27,B14=25),(B14*B$21)/1000000*365.25,(B14*B$21*0.9)/1000000*365.25),IF(OR(B12=27,B12=25),(B12*B$21)/1000000*365.25,(B12*B$21*0.9)/1000000*365.25)),""),2),"")</f>
        <v/>
      </c>
    </row>
    <row r="27" spans="1:3" ht="18.75" customHeight="1" x14ac:dyDescent="0.2">
      <c r="A27" s="85" t="str">
        <f>IFERROR(IF(AND($B$5&lt;DATE(2025,1,1),$B$5&lt;DATE(2030,4,1),OR((VLOOKUP($B$10,Value_look_up_tables!$A$5:$J$10,4,FALSE))&gt;(VLOOKUP($B$10,Value_look_up_tables!$A$5:$J$10,8,FALSE)),(VLOOKUP($B$10,Value_look_up_tables!$A$5:$J$10,5,FALSE))&gt;(VLOOKUP($B$10,Value_look_up_tables!$A$5:$J$10,9,FALSE)))),IF(AND(B28="",B29=""),"","Pre-2025 Stage 1 Nutrient Loading"),IF(AND($B$5&lt;DATE(2025,1,1),OR((VLOOKUP($B$10,Value_look_up_tables!$A$5:$E$10,2,FALSE))&gt;(VLOOKUP($B$10,Value_look_up_tables!$A$5:$E$10,4,FALSE)),(VLOOKUP($B$10,Value_look_up_tables!$A$5:$E$10,3,FALSE))&gt;(VLOOKUP($B$10,Value_look_up_tables!$A$5:$E$10,5,FALSE)))),"Stage 1 Nutrient Loading","")),"")</f>
        <v/>
      </c>
      <c r="B27" s="86"/>
    </row>
    <row r="28" spans="1:3" ht="18.75" customHeight="1" x14ac:dyDescent="0.2">
      <c r="A28" s="8" t="str">
        <f>IFERROR(IF(AND($B$5&lt;DATE(2025,1,1),OR((VLOOKUP($B$10,Value_look_up_tables!$A$5:$E$10,2,FALSE))&gt;(VLOOKUP($B$10,Value_look_up_tables!$A$5:$E$10,4,FALSE)),(VLOOKUP($B$10,Value_look_up_tables!$A$5:$E$10,3,FALSE))&gt;(VLOOKUP($B$10,Value_look_up_tables!$A$5:$E$10,5,FALSE)))),"Annual wastewater TP load (kg TP/yr):",""),"")</f>
        <v/>
      </c>
      <c r="B28" s="48" t="str">
        <f>IFERROR(ROUND(IF(AND($B$5&lt;DATE(2025,1,1),$B$5&lt;DATE(2030,4,1),OR((VLOOKUP($B$10,Value_look_up_tables!$A$5:$J$10,4,FALSE))&gt;(VLOOKUP($B$10,Value_look_up_tables!$A$5:$J$10,8,FALSE)),(VLOOKUP($B$10,Value_look_up_tables!$A$5:$J$10,5,FALSE))&gt;(VLOOKUP($B$10,Value_look_up_tables!$A$5:$J$10,9,FALSE)),(VLOOKUP($B$10,Value_look_up_tables!$A$5:$J$10,2,FALSE))&gt;(VLOOKUP($B$10,Value_look_up_tables!$A$5:$J$10,4,FALSE)),(VLOOKUP($B$10,Value_look_up_tables!$A$5:$J$10,3,FALSE))&gt;(VLOOKUP($B$10,Value_look_up_tables!$A$5:$J$10,5,FALSE)))),IF(ISNUMBER(B13),IF(B11=8,(B11*B$21)/1000000*365.25,(B11*B$21*0.9)/1000000*365.25),IF(B13=8,(B13*B$21)/1000000*365.25,(B13*B$21*0.9)/1000000*365.25)),""),2),IF(ISNUMBER(B14),B26,""))</f>
        <v/>
      </c>
    </row>
    <row r="29" spans="1:3" ht="18.75" customHeight="1" x14ac:dyDescent="0.2">
      <c r="A29" s="8" t="str">
        <f>IFERROR(IF(AND($B$5&lt;DATE(2025,1,1),OR((VLOOKUP($B$10,Value_look_up_tables!$A$5:$E$10,2,FALSE))&gt;(VLOOKUP($B$10,Value_look_up_tables!$A$5:$E$10,4,FALSE)),(VLOOKUP($B$10,Value_look_up_tables!$A$5:$E$10,3,FALSE))&gt;(VLOOKUP($B$10,Value_look_up_tables!$A$5:$E$10,5,FALSE)))),"Annual wastewater TN load (kg TN/yr):",""),"")</f>
        <v/>
      </c>
      <c r="B29" s="48" t="str">
        <f>IFERROR(ROUND(IF(AND($B$5&lt;DATE(2025,1,1),$B$5&lt;DATE(2030,4,1),OR((VLOOKUP($B$10,Value_look_up_tables!$A$5:$J$10,4,FALSE))&gt;(VLOOKUP($B$10,Value_look_up_tables!$A$5:$J$10,8,FALSE)),(VLOOKUP($B$10,Value_look_up_tables!$A$5:$J$10,5,FALSE))&gt;(VLOOKUP($B$10,Value_look_up_tables!$A$5:$J$10,9,FALSE)),(VLOOKUP($B$10,Value_look_up_tables!$A$5:$J$10,2,FALSE))&gt;(VLOOKUP($B$10,Value_look_up_tables!$A$5:$J$10,4,FALSE)),(VLOOKUP($B$10,Value_look_up_tables!$A$5:$J$10,3,FALSE))&gt;(VLOOKUP($B$10,Value_look_up_tables!$A$5:$J$10,5,FALSE)))),IF(ISNUMBER(B14),IF(OR(B12=27,B12=25),(B12*B$21)/1000000*365.25,(B12*B$21*0.9)/1000000*365.25),IF(OR(B14=27,B14=25),(B14*B$21)/1000000*365.25,(B14*B$21*0.9)/1000000*365.25)),""),2),IF(ISNUMBER(B13),B26,""))</f>
        <v/>
      </c>
    </row>
  </sheetData>
  <sheetProtection algorithmName="SHA-512" hashValue="ijyHFepevFNcqqasIgIH+kiAAXvMw1khRncy15IGryhmZFA1bktiAAeL2jNzoAJxcyGmy/nwjVMOCA7uc+bonQ==" saltValue="3sMYclbCeMmsVgtbefboow==" spinCount="100000" sheet="1" objects="1" scenarios="1"/>
  <protectedRanges>
    <protectedRange algorithmName="SHA-512" hashValue="9eFLYwbQxhpezS4HULhG7iBaGmH5LoseTU2XnhelcWF+/l82pYUC3srt3byn/vuneXy5XFyZVPQbagh6SLqRzQ==" saltValue="CEix3VmL8kRrd4op8qAhjg==" spinCount="100000" sqref="B5:B10" name="Range1_11"/>
  </protectedRanges>
  <phoneticPr fontId="3" type="noConversion"/>
  <conditionalFormatting sqref="C11">
    <cfRule type="expression" dxfId="118" priority="2">
      <formula>$B$11="Please enter value in cell to the right:"</formula>
    </cfRule>
  </conditionalFormatting>
  <conditionalFormatting sqref="C12">
    <cfRule type="expression" dxfId="117" priority="1">
      <formula>$B$12="Please enter value in cell to the right:"</formula>
    </cfRule>
  </conditionalFormatting>
  <dataValidations count="5">
    <dataValidation type="whole" operator="greaterThan" allowBlank="1" showErrorMessage="1" errorTitle="Development proposal" error="Please ensure that the total number of dwellings is entered as a whole number" prompt="Please enter the total number of dwellings/units that will be within the development site as of the project completion date." sqref="B8" xr:uid="{5FCF8F7B-3342-4A11-81EF-C0A934FEB505}">
      <formula1>0</formula1>
    </dataValidation>
    <dataValidation type="decimal" operator="greaterThanOrEqual" showErrorMessage="1" errorTitle="Water usage:" error="Please enter a whole number in litres/person/day" prompt="Keep as 120 unless other efficiency measures are used. " sqref="B7" xr:uid="{7BBA9C67-F4AE-4E31-9B66-5A8851676991}">
      <formula1>0</formula1>
    </dataValidation>
    <dataValidation type="decimal" operator="greaterThanOrEqual" showErrorMessage="1" prompt="The average occupancy rate (people per dwelling/unit) should not be edited unless there is sufficient evidence." sqref="B6" xr:uid="{E341F3D6-CF85-498F-93B7-63085402EB07}">
      <formula1>0</formula1>
    </dataValidation>
    <dataValidation type="date" operator="greaterThan" allowBlank="1" showErrorMessage="1" errorTitle="Date Error" error="Please enter a date after 01/01/2022 date in correct dd/mm/yyyy format." prompt="Please enter the date using dd/mm/yyyy format. " sqref="B5" xr:uid="{6CF28049-E491-499F-BB43-17B0BFF91636}">
      <formula1>44562</formula1>
    </dataValidation>
    <dataValidation type="decimal" operator="greaterThanOrEqual" allowBlank="1" showInputMessage="1" showErrorMessage="1" sqref="C11:C12" xr:uid="{770EB660-0D83-4518-8A40-A8988086EF1B}">
      <formula1>0</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2">
        <x14:dataValidation type="list" allowBlank="1" showErrorMessage="1" prompt="Please select a Wastewater Treatment Works from the drop-down list." xr:uid="{9AFCCA9C-D04E-49D5-AC45-6EDFCCBE3936}">
          <x14:formula1>
            <xm:f>Value_look_up_tables!$A$5:$A$12</xm:f>
          </x14:formula1>
          <xm:sqref>B10</xm:sqref>
        </x14:dataValidation>
        <x14:dataValidation type="list" operator="greaterThan" allowBlank="1" showErrorMessage="1" errorTitle="Development proposal" error="Please ensure that the total number of dwellings is entered as a whole number" prompt="Please edit if the catchment does not have a deductible acceptable loading. " xr:uid="{97F316E6-447A-4848-806D-BF22A6EF5FA6}">
          <x14:formula1>
            <xm:f>Value_look_up_tables!$A$140:$A$141</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8DE7-889B-4390-AD2D-86928A13748B}">
  <dimension ref="A1:G30"/>
  <sheetViews>
    <sheetView zoomScaleNormal="100" workbookViewId="0"/>
  </sheetViews>
  <sheetFormatPr defaultColWidth="9.140625" defaultRowHeight="15" x14ac:dyDescent="0.25"/>
  <cols>
    <col min="1" max="1" width="93.28515625" style="20" customWidth="1"/>
    <col min="2" max="2" width="40.5703125" style="20" customWidth="1"/>
    <col min="3" max="3" width="24.7109375" style="20" customWidth="1"/>
    <col min="4" max="4" width="21.28515625" style="20" customWidth="1"/>
    <col min="5" max="5" width="76.7109375" style="20" customWidth="1"/>
    <col min="6" max="387" width="8.5703125" style="20" customWidth="1"/>
    <col min="388" max="16384" width="9.140625" style="20"/>
  </cols>
  <sheetData>
    <row r="1" spans="1:7" ht="38.25" customHeight="1" x14ac:dyDescent="0.25">
      <c r="A1" s="15" t="s">
        <v>129</v>
      </c>
      <c r="B1" s="42"/>
      <c r="C1" s="42"/>
      <c r="D1" s="42"/>
      <c r="E1" s="42"/>
    </row>
    <row r="2" spans="1:7" ht="396" customHeight="1" x14ac:dyDescent="0.25">
      <c r="A2" s="89" t="s">
        <v>247</v>
      </c>
      <c r="B2" s="42"/>
      <c r="C2" s="42"/>
      <c r="D2" s="42"/>
      <c r="E2" s="42"/>
      <c r="F2" s="21"/>
    </row>
    <row r="3" spans="1:7" ht="55.5" customHeight="1" x14ac:dyDescent="0.25">
      <c r="A3" s="22" t="s">
        <v>144</v>
      </c>
      <c r="B3" s="42"/>
      <c r="C3" s="42"/>
      <c r="D3" s="42"/>
      <c r="E3" s="2"/>
    </row>
    <row r="4" spans="1:7" ht="15.75" x14ac:dyDescent="0.25">
      <c r="A4" s="62" t="s">
        <v>176</v>
      </c>
      <c r="B4" s="63" t="s">
        <v>183</v>
      </c>
      <c r="C4" s="42"/>
      <c r="D4" s="42"/>
      <c r="E4" s="2"/>
    </row>
    <row r="5" spans="1:7" ht="23.25" customHeight="1" x14ac:dyDescent="0.25">
      <c r="A5" s="10" t="s">
        <v>248</v>
      </c>
      <c r="B5" s="26"/>
      <c r="C5" s="23"/>
      <c r="D5" s="2"/>
      <c r="E5" s="2"/>
      <c r="G5" s="100"/>
    </row>
    <row r="6" spans="1:7" ht="23.25" customHeight="1" x14ac:dyDescent="0.25">
      <c r="A6" s="10" t="s">
        <v>2</v>
      </c>
      <c r="B6" s="27"/>
      <c r="C6" s="23"/>
      <c r="D6" s="2"/>
      <c r="E6" s="2"/>
    </row>
    <row r="7" spans="1:7" ht="23.25" customHeight="1" x14ac:dyDescent="0.25">
      <c r="A7" s="10" t="s">
        <v>139</v>
      </c>
      <c r="B7" s="28"/>
      <c r="C7" s="23"/>
      <c r="D7" s="2"/>
      <c r="E7" s="2"/>
    </row>
    <row r="8" spans="1:7" ht="23.25" customHeight="1" x14ac:dyDescent="0.25">
      <c r="A8" s="7" t="s">
        <v>3</v>
      </c>
      <c r="B8" s="29"/>
      <c r="C8" s="23"/>
      <c r="D8" s="2"/>
      <c r="E8" s="2"/>
    </row>
    <row r="9" spans="1:7" ht="69.95" customHeight="1" x14ac:dyDescent="0.25">
      <c r="A9" s="101" t="s">
        <v>201</v>
      </c>
      <c r="B9" s="90"/>
      <c r="C9" s="23"/>
      <c r="D9" s="2"/>
      <c r="E9" s="2"/>
    </row>
    <row r="10" spans="1:7" ht="54.75" customHeight="1" x14ac:dyDescent="0.25">
      <c r="A10" s="30" t="s">
        <v>4</v>
      </c>
      <c r="B10" s="31" t="s">
        <v>140</v>
      </c>
      <c r="C10" s="31" t="s">
        <v>185</v>
      </c>
      <c r="D10" s="31" t="s">
        <v>186</v>
      </c>
      <c r="E10" s="31" t="s">
        <v>184</v>
      </c>
      <c r="G10" s="100"/>
    </row>
    <row r="11" spans="1:7" ht="37.5" customHeight="1" x14ac:dyDescent="0.25">
      <c r="A11" s="5"/>
      <c r="B11" s="17"/>
      <c r="C11" s="87" t="str">
        <f>IF(OR(ISBLANK($A11),ISBLANK($B11),ISBLANK($B$6),ISBLANK($B$7)),"",IFERROR($B11*VLOOKUP((IF(OR($A11="Residential urban land",$A11="Commercial/industrial urban land",$A11="Open urban land",$A11="Greenspace",$A11="Community food growing",$A11="Woodland",$A11="Shrub", $A11="Water"), "|||"&amp;$A11, (VLOOKUP(Nutrients_from_current_land_use!$B$5,Value_look_up_tables!$A$127:$B$127,2,FALSE)&amp;"|"&amp;$A11&amp;"|"&amp;VLOOKUP(Nutrients_from_current_land_use!$B$8,Value_look_up_tables!$A$140:$B$141,2,FALSE)&amp;"|"&amp;VLOOKUP(Nutrients_from_current_land_use!$B$7,Value_look_up_tables!$A$101:$C$123,3,FALSE)&amp;"|"&amp;VLOOKUP($B$6,Value_look_up_tables!$A$131:$B$136,2,FALSE)))),Value_look_up_tables!$F$16:$H$97,2,FALSE),
IFERROR(IFERROR($B11*VLOOKUP($A11&amp;"|"&amp;VLOOKUP(Nutrients_from_current_land_use!$B$8,Value_look_up_tables!$A$140:$B$141,2,FALSE)&amp;"|"&amp;VLOOKUP(Nutrients_from_current_land_use!$B$7,Value_look_up_tables!$A$101:$C$123,3,FALSE)&amp;"|"&amp;VLOOKUP($B$6,Value_look_up_tables!$A$131:$B$136,2,FALSE),Value_look_up_tables!$F$16:$H$97,2,FALSE),IFERROR($B11*VLOOKUP($A11&amp;"|"&amp;"TRUE"&amp;"|"&amp;VLOOKUP(Nutrients_from_current_land_use!$B$7,Value_look_up_tables!$A$101:$C$123,3,FALSE)&amp;"|"&amp;VLOOKUP($B$6,Value_look_up_tables!$A$131:$B$136,2,FALSE),Value_look_up_tables!$F$16:$H$97,2,FALSE),$B11*VLOOKUP($A11&amp;"|"&amp;VLOOKUP(Nutrients_from_current_land_use!$B$8,Value_look_up_tables!$A$140:$B$141,2,FALSE)&amp;"|"&amp;VLOOKUP(Nutrients_from_current_land_use!$B$7,Value_look_up_tables!$A$101:$C$123,3,FALSE)&amp;"|"&amp;"DrainedArGr",Value_look_up_tables!$F$16:$H$97,2,FALSE))),IFERROR($B11*VLOOKUP($A11&amp;"|"&amp;VLOOKUP(Nutrients_from_current_land_use!$B$7,Value_look_up_tables!$A$101:$C$123,3,FALSE),Value_look_up_tables!$I$16:$K$89,2,FALSE),$B11*VLOOKUP($A11,Value_look_up_tables!$B$16:$M$89,11,FALSE)))))</f>
        <v/>
      </c>
      <c r="D11" s="87" t="str">
        <f>IF(OR(ISBLANK($A11),ISBLANK($B11),ISBLANK($B$6),ISBLANK($B$7)),"",IFERROR($B11*VLOOKUP((IF(OR($A11="Residential urban land",$A11="Commercial/industrial urban land",$A11="Open urban land",$A11="Greenspace",$A11="Community food growing",$A11="Woodland",$A11="Shrub", $A11="Water"), "|||"&amp;$A11, (VLOOKUP(Nutrients_from_current_land_use!$B$5,Value_look_up_tables!$A$127:$B$127,2,FALSE)&amp;"|"&amp;$A11&amp;"|"&amp;VLOOKUP(Nutrients_from_current_land_use!$B$8,Value_look_up_tables!$A$140:$B$141,2,FALSE)&amp;"|"&amp;VLOOKUP(Nutrients_from_current_land_use!$B$7,Value_look_up_tables!$A$101:$C$123,3,FALSE)&amp;"|"&amp;VLOOKUP($B$6,Value_look_up_tables!$A$131:$B$136,2,FALSE)))),Value_look_up_tables!$F$16:$H$97,3,FALSE),
IFERROR(IFERROR($B11*VLOOKUP($A11&amp;"|"&amp;VLOOKUP(Nutrients_from_current_land_use!$B$8,Value_look_up_tables!$A$140:$B$141,2,FALSE)&amp;"|"&amp;VLOOKUP(Nutrients_from_current_land_use!$B$7,Value_look_up_tables!$A$101:$C$123,3,FALSE)&amp;"|"&amp;VLOOKUP($B$6,Value_look_up_tables!$A$131:$B$136,2,FALSE),Value_look_up_tables!$F$16:$H$97,3,FALSE),IFERROR($B11*VLOOKUP($A11&amp;"|"&amp;"TRUE"&amp;"|"&amp;VLOOKUP(Nutrients_from_current_land_use!$B$7,Value_look_up_tables!$A$101:$C$123,3,FALSE)&amp;"|"&amp;VLOOKUP($B$6,Value_look_up_tables!$A$131:$B$136,2,FALSE),Value_look_up_tables!$F$16:$H$97,3,FALSE),$B11*VLOOKUP($A11&amp;"|"&amp;VLOOKUP(Nutrients_from_current_land_use!$B$8,Value_look_up_tables!$A$140:$B$141,2,FALSE)&amp;"|"&amp;VLOOKUP(Nutrients_from_current_land_use!$B$7,Value_look_up_tables!$A$101:$C$123,3,FALSE)&amp;"|"&amp;"DrainedArGr",Value_look_up_tables!$F$16:$H$97,3,FALSE))),IFERROR($B11*VLOOKUP($A11&amp;"|"&amp;VLOOKUP(Nutrients_from_current_land_use!$B$7,Value_look_up_tables!$A$101:$C$123,3,FALSE),Value_look_up_tables!$I$16:$K$89,3,FALSE),$B11*VLOOKUP($A11,Value_look_up_tables!$B$16:$M$89,12,FALSE)))))</f>
        <v/>
      </c>
      <c r="E11" s="6" t="str">
        <f>IF(OR(ISBLANK($A11),ISBLANK($B11),ISBLANK($B$6),ISBLANK($B$5),ISBLANK($B$7),$A11="Residential urban land",$A11="Commercial/industrial urban land",$A11="Open urban land",$A11="Greenspace",$A11="Community food growing",$A11="Woodland",$A11="Shrub",$A11="Water"),"",IF(ISNUMBER(IFERROR($B11*VLOOKUP((IF(OR($A11="Residential urban land",$A11="Commercial/industrial urban land",$A11="Open urban land",$A11="Greenspace",$A11="Community food growing",$A11="Woodland",$A11="Shrub",$A11="Water"),"|||"&amp;$A11,(VLOOKUP(Nutrients_from_current_land_use!$B$5,Value_look_up_tables!$A$127:$B$127,2,FALSE)&amp;"|"&amp;$A11&amp;"|"&amp;VLOOKUP(Nutrients_from_current_land_use!$B$8,Value_look_up_tables!$A$140:$B$141,2,FALSE)&amp;"|"&amp;VLOOKUP(Nutrients_from_current_land_use!$B$7, Value_look_up_tables!$A$101:$C$123,3,FALSE)&amp;"|"&amp;VLOOKUP($B$6,Value_look_up_tables!$A$131:$B$136,2,FALSE)))), Value_look_up_tables!$F$16:$H$89,3,FALSE),IFERROR($B11*VLOOKUP($A11&amp;"|"&amp;VLOOKUP(Nutrients_from_current_land_use!$B$8,Value_look_up_tables!$A$140:$B$141,2,FALSE)&amp;"|"&amp;VLOOKUP(Nutrients_from_current_land_use!$B$7, Value_look_up_tables!$A$101:$C$123,3,FALSE)&amp;"|"&amp;VLOOKUP($B$6,Value_look_up_tables!$A$131:$B$136,2,FALSE),Value_look_up_tables!$F$16:$H$89,3,FALSE),"In the absence of real world data, this figure has been generated using the most relevant average nutrient export coefficient."))),"","In the absence of real world data, this figure has been generated using the most relevant average nutrient export coefficient."))</f>
        <v/>
      </c>
    </row>
    <row r="12" spans="1:7" ht="37.5" customHeight="1" x14ac:dyDescent="0.25">
      <c r="A12" s="5"/>
      <c r="B12" s="17"/>
      <c r="C12" s="87" t="str">
        <f>IF(OR(ISBLANK($A12),ISBLANK($B12),ISBLANK($B$6),ISBLANK($B$7)),"",IFERROR($B12*VLOOKUP((IF(OR($A12="Residential urban land",$A12="Commercial/industrial urban land",$A12="Open urban land",$A12="Greenspace",$A12="Community food growing",$A12="Woodland",$A12="Shrub", $A12="Water"), "|||"&amp;$A12, (VLOOKUP(Nutrients_from_current_land_use!$B$5,Value_look_up_tables!$A$127:$B$127,2,FALSE)&amp;"|"&amp;$A12&amp;"|"&amp;VLOOKUP(Nutrients_from_current_land_use!$B$8,Value_look_up_tables!$A$140:$B$141,2,FALSE)&amp;"|"&amp;VLOOKUP(Nutrients_from_current_land_use!$B$7,Value_look_up_tables!$A$101:$C$123,3,FALSE)&amp;"|"&amp;VLOOKUP($B$6,Value_look_up_tables!$A$131:$B$136,2,FALSE)))),Value_look_up_tables!$F$16:$H$97,2,FALSE),
IFERROR(IFERROR($B12*VLOOKUP($A12&amp;"|"&amp;VLOOKUP(Nutrients_from_current_land_use!$B$8,Value_look_up_tables!$A$140:$B$141,2,FALSE)&amp;"|"&amp;VLOOKUP(Nutrients_from_current_land_use!$B$7,Value_look_up_tables!$A$101:$C$123,3,FALSE)&amp;"|"&amp;VLOOKUP($B$6,Value_look_up_tables!$A$131:$B$136,2,FALSE),Value_look_up_tables!$F$16:$H$97,2,FALSE),IFERROR($B12*VLOOKUP($A12&amp;"|"&amp;"TRUE"&amp;"|"&amp;VLOOKUP(Nutrients_from_current_land_use!$B$7,Value_look_up_tables!$A$101:$C$123,3,FALSE)&amp;"|"&amp;VLOOKUP($B$6,Value_look_up_tables!$A$131:$B$136,2,FALSE),Value_look_up_tables!$F$16:$H$97,2,FALSE),$B12*VLOOKUP($A12&amp;"|"&amp;VLOOKUP(Nutrients_from_current_land_use!$B$8,Value_look_up_tables!$A$140:$B$141,2,FALSE)&amp;"|"&amp;VLOOKUP(Nutrients_from_current_land_use!$B$7,Value_look_up_tables!$A$101:$C$123,3,FALSE)&amp;"|"&amp;"DrainedArGr",Value_look_up_tables!$F$16:$H$97,2,FALSE))),IFERROR($B12*VLOOKUP($A12&amp;"|"&amp;VLOOKUP(Nutrients_from_current_land_use!$B$7,Value_look_up_tables!$A$101:$C$123,3,FALSE),Value_look_up_tables!$I$16:$K$89,2,FALSE),$B12*VLOOKUP($A12,Value_look_up_tables!$B$16:$M$89,11,FALSE)))))</f>
        <v/>
      </c>
      <c r="D12" s="87" t="str">
        <f>IF(OR(ISBLANK($A12),ISBLANK($B12),ISBLANK($B$6),ISBLANK($B$7)),"",IFERROR($B12*VLOOKUP((IF(OR($A12="Residential urban land",$A12="Commercial/industrial urban land",$A12="Open urban land",$A12="Greenspace",$A12="Community food growing",$A12="Woodland",$A12="Shrub", $A12="Water"), "|||"&amp;$A12, (VLOOKUP(Nutrients_from_current_land_use!$B$5,Value_look_up_tables!$A$127:$B$127,2,FALSE)&amp;"|"&amp;$A12&amp;"|"&amp;VLOOKUP(Nutrients_from_current_land_use!$B$8,Value_look_up_tables!$A$140:$B$141,2,FALSE)&amp;"|"&amp;VLOOKUP(Nutrients_from_current_land_use!$B$7,Value_look_up_tables!$A$101:$C$123,3,FALSE)&amp;"|"&amp;VLOOKUP($B$6,Value_look_up_tables!$A$131:$B$136,2,FALSE)))),Value_look_up_tables!$F$16:$H$97,3,FALSE),
IFERROR(IFERROR($B12*VLOOKUP($A12&amp;"|"&amp;VLOOKUP(Nutrients_from_current_land_use!$B$8,Value_look_up_tables!$A$140:$B$141,2,FALSE)&amp;"|"&amp;VLOOKUP(Nutrients_from_current_land_use!$B$7,Value_look_up_tables!$A$101:$C$123,3,FALSE)&amp;"|"&amp;VLOOKUP($B$6,Value_look_up_tables!$A$131:$B$136,2,FALSE),Value_look_up_tables!$F$16:$H$97,3,FALSE),IFERROR($B12*VLOOKUP($A12&amp;"|"&amp;"TRUE"&amp;"|"&amp;VLOOKUP(Nutrients_from_current_land_use!$B$7,Value_look_up_tables!$A$101:$C$123,3,FALSE)&amp;"|"&amp;VLOOKUP($B$6,Value_look_up_tables!$A$131:$B$136,2,FALSE),Value_look_up_tables!$F$16:$H$97,3,FALSE),$B12*VLOOKUP($A12&amp;"|"&amp;VLOOKUP(Nutrients_from_current_land_use!$B$8,Value_look_up_tables!$A$140:$B$141,2,FALSE)&amp;"|"&amp;VLOOKUP(Nutrients_from_current_land_use!$B$7,Value_look_up_tables!$A$101:$C$123,3,FALSE)&amp;"|"&amp;"DrainedArGr",Value_look_up_tables!$F$16:$H$97,3,FALSE))),IFERROR($B12*VLOOKUP($A12&amp;"|"&amp;VLOOKUP(Nutrients_from_current_land_use!$B$7,Value_look_up_tables!$A$101:$C$123,3,FALSE),Value_look_up_tables!$I$16:$K$89,3,FALSE),$B12*VLOOKUP($A12,Value_look_up_tables!$B$16:$M$89,12,FALSE)))))</f>
        <v/>
      </c>
      <c r="E12" s="6" t="str">
        <f>IF(OR(ISBLANK($A12),ISBLANK($B12),ISBLANK($B$6),ISBLANK($B$5),ISBLANK($B$7),$A12="Residential urban land",$A12="Commercial/industrial urban land",$A12="Open urban land",$A12="Greenspace",$A12="Community food growing",$A12="Woodland",$A12="Shrub",$A12="Water"),"",IF(ISNUMBER(IFERROR($B12*VLOOKUP((IF(OR($A12="Residential urban land",$A12="Commercial/industrial urban land",$A12="Open urban land",$A12="Greenspace",$A12="Community food growing",$A12="Woodland",$A12="Shrub",$A12="Water"),"|||"&amp;$A12,(VLOOKUP(Nutrients_from_current_land_use!$B$5,Value_look_up_tables!$A$127:$B$127,2,FALSE)&amp;"|"&amp;$A12&amp;"|"&amp;VLOOKUP(Nutrients_from_current_land_use!$B$8,Value_look_up_tables!$A$140:$B$141,2,FALSE)&amp;"|"&amp;VLOOKUP(Nutrients_from_current_land_use!$B$7, Value_look_up_tables!$A$101:$C$123,3,FALSE)&amp;"|"&amp;VLOOKUP($B$6,Value_look_up_tables!$A$131:$B$136,2,FALSE)))), Value_look_up_tables!$F$16:$H$89,3,FALSE),IFERROR($B12*VLOOKUP($A12&amp;"|"&amp;VLOOKUP(Nutrients_from_current_land_use!$B$8,Value_look_up_tables!$A$140:$B$141,2,FALSE)&amp;"|"&amp;VLOOKUP(Nutrients_from_current_land_use!$B$7, Value_look_up_tables!$A$101:$C$123,3,FALSE)&amp;"|"&amp;VLOOKUP($B$6,Value_look_up_tables!$A$131:$B$136,2,FALSE),Value_look_up_tables!$F$16:$H$89,3,FALSE),"In the absence of real world data, this figure has been generated using the most relevant average nutrient export coefficient."))),"","In the absence of real world data, this figure has been generated using the most relevant average nutrient export coefficient."))</f>
        <v/>
      </c>
    </row>
    <row r="13" spans="1:7" ht="37.5" customHeight="1" x14ac:dyDescent="0.25">
      <c r="A13" s="5"/>
      <c r="B13" s="17"/>
      <c r="C13" s="87" t="str">
        <f>IF(OR(ISBLANK($A13),ISBLANK($B13),ISBLANK($B$6),ISBLANK($B$7)),"",IFERROR($B13*VLOOKUP((IF(OR($A13="Residential urban land",$A13="Commercial/industrial urban land",$A13="Open urban land",$A13="Greenspace",$A13="Community food growing",$A13="Woodland",$A13="Shrub", $A13="Water"), "|||"&amp;$A13, (VLOOKUP(Nutrients_from_current_land_use!$B$5,Value_look_up_tables!$A$127:$B$127,2,FALSE)&amp;"|"&amp;$A13&amp;"|"&amp;VLOOKUP(Nutrients_from_current_land_use!$B$8,Value_look_up_tables!$A$140:$B$141,2,FALSE)&amp;"|"&amp;VLOOKUP(Nutrients_from_current_land_use!$B$7,Value_look_up_tables!$A$101:$C$123,3,FALSE)&amp;"|"&amp;VLOOKUP($B$6,Value_look_up_tables!$A$131:$B$136,2,FALSE)))),Value_look_up_tables!$F$16:$H$97,2,FALSE),
IFERROR(IFERROR($B13*VLOOKUP($A13&amp;"|"&amp;VLOOKUP(Nutrients_from_current_land_use!$B$8,Value_look_up_tables!$A$140:$B$141,2,FALSE)&amp;"|"&amp;VLOOKUP(Nutrients_from_current_land_use!$B$7,Value_look_up_tables!$A$101:$C$123,3,FALSE)&amp;"|"&amp;VLOOKUP($B$6,Value_look_up_tables!$A$131:$B$136,2,FALSE),Value_look_up_tables!$F$16:$H$97,2,FALSE),IFERROR($B13*VLOOKUP($A13&amp;"|"&amp;"TRUE"&amp;"|"&amp;VLOOKUP(Nutrients_from_current_land_use!$B$7,Value_look_up_tables!$A$101:$C$123,3,FALSE)&amp;"|"&amp;VLOOKUP($B$6,Value_look_up_tables!$A$131:$B$136,2,FALSE),Value_look_up_tables!$F$16:$H$97,2,FALSE),$B13*VLOOKUP($A13&amp;"|"&amp;VLOOKUP(Nutrients_from_current_land_use!$B$8,Value_look_up_tables!$A$140:$B$141,2,FALSE)&amp;"|"&amp;VLOOKUP(Nutrients_from_current_land_use!$B$7,Value_look_up_tables!$A$101:$C$123,3,FALSE)&amp;"|"&amp;"DrainedArGr",Value_look_up_tables!$F$16:$H$97,2,FALSE))),IFERROR($B13*VLOOKUP($A13&amp;"|"&amp;VLOOKUP(Nutrients_from_current_land_use!$B$7,Value_look_up_tables!$A$101:$C$123,3,FALSE),Value_look_up_tables!$I$16:$K$89,2,FALSE),$B13*VLOOKUP($A13,Value_look_up_tables!$B$16:$M$89,11,FALSE)))))</f>
        <v/>
      </c>
      <c r="D13" s="87" t="str">
        <f>IF(OR(ISBLANK($A13),ISBLANK($B13),ISBLANK($B$6),ISBLANK($B$7)),"",IFERROR($B13*VLOOKUP((IF(OR($A13="Residential urban land",$A13="Commercial/industrial urban land",$A13="Open urban land",$A13="Greenspace",$A13="Community food growing",$A13="Woodland",$A13="Shrub", $A13="Water"), "|||"&amp;$A13, (VLOOKUP(Nutrients_from_current_land_use!$B$5,Value_look_up_tables!$A$127:$B$127,2,FALSE)&amp;"|"&amp;$A13&amp;"|"&amp;VLOOKUP(Nutrients_from_current_land_use!$B$8,Value_look_up_tables!$A$140:$B$141,2,FALSE)&amp;"|"&amp;VLOOKUP(Nutrients_from_current_land_use!$B$7,Value_look_up_tables!$A$101:$C$123,3,FALSE)&amp;"|"&amp;VLOOKUP($B$6,Value_look_up_tables!$A$131:$B$136,2,FALSE)))),Value_look_up_tables!$F$16:$H$97,3,FALSE),
IFERROR(IFERROR($B13*VLOOKUP($A13&amp;"|"&amp;VLOOKUP(Nutrients_from_current_land_use!$B$8,Value_look_up_tables!$A$140:$B$141,2,FALSE)&amp;"|"&amp;VLOOKUP(Nutrients_from_current_land_use!$B$7,Value_look_up_tables!$A$101:$C$123,3,FALSE)&amp;"|"&amp;VLOOKUP($B$6,Value_look_up_tables!$A$131:$B$136,2,FALSE),Value_look_up_tables!$F$16:$H$97,3,FALSE),IFERROR($B13*VLOOKUP($A13&amp;"|"&amp;"TRUE"&amp;"|"&amp;VLOOKUP(Nutrients_from_current_land_use!$B$7,Value_look_up_tables!$A$101:$C$123,3,FALSE)&amp;"|"&amp;VLOOKUP($B$6,Value_look_up_tables!$A$131:$B$136,2,FALSE),Value_look_up_tables!$F$16:$H$97,3,FALSE),$B13*VLOOKUP($A13&amp;"|"&amp;VLOOKUP(Nutrients_from_current_land_use!$B$8,Value_look_up_tables!$A$140:$B$141,2,FALSE)&amp;"|"&amp;VLOOKUP(Nutrients_from_current_land_use!$B$7,Value_look_up_tables!$A$101:$C$123,3,FALSE)&amp;"|"&amp;"DrainedArGr",Value_look_up_tables!$F$16:$H$97,3,FALSE))),IFERROR($B13*VLOOKUP($A13&amp;"|"&amp;VLOOKUP(Nutrients_from_current_land_use!$B$7,Value_look_up_tables!$A$101:$C$123,3,FALSE),Value_look_up_tables!$I$16:$K$89,3,FALSE),$B13*VLOOKUP($A13,Value_look_up_tables!$B$16:$M$89,12,FALSE)))))</f>
        <v/>
      </c>
      <c r="E13" s="6" t="str">
        <f>IF(OR(ISBLANK($A13),ISBLANK($B13),ISBLANK($B$6),ISBLANK($B$5),ISBLANK($B$7),$A13="Residential urban land",$A13="Commercial/industrial urban land",$A13="Open urban land",$A13="Greenspace",$A13="Community food growing",$A13="Woodland",$A13="Shrub",$A13="Water"),"",IF(ISNUMBER(IFERROR($B13*VLOOKUP((IF(OR($A13="Residential urban land",$A13="Commercial/industrial urban land",$A13="Open urban land",$A13="Greenspace",$A13="Community food growing",$A13="Woodland",$A13="Shrub",$A13="Water"),"|||"&amp;$A13,(VLOOKUP(Nutrients_from_current_land_use!$B$5,Value_look_up_tables!$A$127:$B$127,2,FALSE)&amp;"|"&amp;$A13&amp;"|"&amp;VLOOKUP(Nutrients_from_current_land_use!$B$8,Value_look_up_tables!$A$140:$B$141,2,FALSE)&amp;"|"&amp;VLOOKUP(Nutrients_from_current_land_use!$B$7, Value_look_up_tables!$A$101:$C$123,3,FALSE)&amp;"|"&amp;VLOOKUP($B$6,Value_look_up_tables!$A$131:$B$136,2,FALSE)))), Value_look_up_tables!$F$16:$H$89,3,FALSE),IFERROR($B13*VLOOKUP($A13&amp;"|"&amp;VLOOKUP(Nutrients_from_current_land_use!$B$8,Value_look_up_tables!$A$140:$B$141,2,FALSE)&amp;"|"&amp;VLOOKUP(Nutrients_from_current_land_use!$B$7, Value_look_up_tables!$A$101:$C$123,3,FALSE)&amp;"|"&amp;VLOOKUP($B$6,Value_look_up_tables!$A$131:$B$136,2,FALSE),Value_look_up_tables!$F$16:$H$89,3,FALSE),"In the absence of real world data, this figure has been generated using the most relevant average nutrient export coefficient."))),"","In the absence of real world data, this figure has been generated using the most relevant average nutrient export coefficient."))</f>
        <v/>
      </c>
    </row>
    <row r="14" spans="1:7" ht="37.5" customHeight="1" x14ac:dyDescent="0.25">
      <c r="A14" s="5"/>
      <c r="B14" s="17"/>
      <c r="C14" s="87" t="str">
        <f>IF(OR(ISBLANK($A14),ISBLANK($B14),ISBLANK($B$6),ISBLANK($B$7)),"",IFERROR($B14*VLOOKUP((IF(OR($A14="Residential urban land",$A14="Commercial/industrial urban land",$A14="Open urban land",$A14="Greenspace",$A14="Community food growing",$A14="Woodland",$A14="Shrub", $A14="Water"), "|||"&amp;$A14, (VLOOKUP(Nutrients_from_current_land_use!$B$5,Value_look_up_tables!$A$127:$B$127,2,FALSE)&amp;"|"&amp;$A14&amp;"|"&amp;VLOOKUP(Nutrients_from_current_land_use!$B$8,Value_look_up_tables!$A$140:$B$141,2,FALSE)&amp;"|"&amp;VLOOKUP(Nutrients_from_current_land_use!$B$7,Value_look_up_tables!$A$101:$C$123,3,FALSE)&amp;"|"&amp;VLOOKUP($B$6,Value_look_up_tables!$A$131:$B$136,2,FALSE)))),Value_look_up_tables!$F$16:$H$97,2,FALSE),
IFERROR(IFERROR($B14*VLOOKUP($A14&amp;"|"&amp;VLOOKUP(Nutrients_from_current_land_use!$B$8,Value_look_up_tables!$A$140:$B$141,2,FALSE)&amp;"|"&amp;VLOOKUP(Nutrients_from_current_land_use!$B$7,Value_look_up_tables!$A$101:$C$123,3,FALSE)&amp;"|"&amp;VLOOKUP($B$6,Value_look_up_tables!$A$131:$B$136,2,FALSE),Value_look_up_tables!$F$16:$H$97,2,FALSE),IFERROR($B14*VLOOKUP($A14&amp;"|"&amp;"TRUE"&amp;"|"&amp;VLOOKUP(Nutrients_from_current_land_use!$B$7,Value_look_up_tables!$A$101:$C$123,3,FALSE)&amp;"|"&amp;VLOOKUP($B$6,Value_look_up_tables!$A$131:$B$136,2,FALSE),Value_look_up_tables!$F$16:$H$97,2,FALSE),$B14*VLOOKUP($A14&amp;"|"&amp;VLOOKUP(Nutrients_from_current_land_use!$B$8,Value_look_up_tables!$A$140:$B$141,2,FALSE)&amp;"|"&amp;VLOOKUP(Nutrients_from_current_land_use!$B$7,Value_look_up_tables!$A$101:$C$123,3,FALSE)&amp;"|"&amp;"DrainedArGr",Value_look_up_tables!$F$16:$H$97,2,FALSE))),IFERROR($B14*VLOOKUP($A14&amp;"|"&amp;VLOOKUP(Nutrients_from_current_land_use!$B$7,Value_look_up_tables!$A$101:$C$123,3,FALSE),Value_look_up_tables!$I$16:$K$89,2,FALSE),$B14*VLOOKUP($A14,Value_look_up_tables!$B$16:$M$89,11,FALSE)))))</f>
        <v/>
      </c>
      <c r="D14" s="87" t="str">
        <f>IF(OR(ISBLANK($A14),ISBLANK($B14),ISBLANK($B$6),ISBLANK($B$7)),"",IFERROR($B14*VLOOKUP((IF(OR($A14="Residential urban land",$A14="Commercial/industrial urban land",$A14="Open urban land",$A14="Greenspace",$A14="Community food growing",$A14="Woodland",$A14="Shrub", $A14="Water"), "|||"&amp;$A14, (VLOOKUP(Nutrients_from_current_land_use!$B$5,Value_look_up_tables!$A$127:$B$127,2,FALSE)&amp;"|"&amp;$A14&amp;"|"&amp;VLOOKUP(Nutrients_from_current_land_use!$B$8,Value_look_up_tables!$A$140:$B$141,2,FALSE)&amp;"|"&amp;VLOOKUP(Nutrients_from_current_land_use!$B$7,Value_look_up_tables!$A$101:$C$123,3,FALSE)&amp;"|"&amp;VLOOKUP($B$6,Value_look_up_tables!$A$131:$B$136,2,FALSE)))),Value_look_up_tables!$F$16:$H$97,3,FALSE),
IFERROR(IFERROR($B14*VLOOKUP($A14&amp;"|"&amp;VLOOKUP(Nutrients_from_current_land_use!$B$8,Value_look_up_tables!$A$140:$B$141,2,FALSE)&amp;"|"&amp;VLOOKUP(Nutrients_from_current_land_use!$B$7,Value_look_up_tables!$A$101:$C$123,3,FALSE)&amp;"|"&amp;VLOOKUP($B$6,Value_look_up_tables!$A$131:$B$136,2,FALSE),Value_look_up_tables!$F$16:$H$97,3,FALSE),IFERROR($B14*VLOOKUP($A14&amp;"|"&amp;"TRUE"&amp;"|"&amp;VLOOKUP(Nutrients_from_current_land_use!$B$7,Value_look_up_tables!$A$101:$C$123,3,FALSE)&amp;"|"&amp;VLOOKUP($B$6,Value_look_up_tables!$A$131:$B$136,2,FALSE),Value_look_up_tables!$F$16:$H$97,3,FALSE),$B14*VLOOKUP($A14&amp;"|"&amp;VLOOKUP(Nutrients_from_current_land_use!$B$8,Value_look_up_tables!$A$140:$B$141,2,FALSE)&amp;"|"&amp;VLOOKUP(Nutrients_from_current_land_use!$B$7,Value_look_up_tables!$A$101:$C$123,3,FALSE)&amp;"|"&amp;"DrainedArGr",Value_look_up_tables!$F$16:$H$97,3,FALSE))),IFERROR($B14*VLOOKUP($A14&amp;"|"&amp;VLOOKUP(Nutrients_from_current_land_use!$B$7,Value_look_up_tables!$A$101:$C$123,3,FALSE),Value_look_up_tables!$I$16:$K$89,3,FALSE),$B14*VLOOKUP($A14,Value_look_up_tables!$B$16:$M$89,12,FALSE)))))</f>
        <v/>
      </c>
      <c r="E14" s="6" t="str">
        <f>IF(OR(ISBLANK($A14),ISBLANK($B14),ISBLANK($B$6),ISBLANK($B$5),ISBLANK($B$7),$A14="Residential urban land",$A14="Commercial/industrial urban land",$A14="Open urban land",$A14="Greenspace",$A14="Community food growing",$A14="Woodland",$A14="Shrub",$A14="Water"),"",IF(ISNUMBER(IFERROR($B14*VLOOKUP((IF(OR($A14="Residential urban land",$A14="Commercial/industrial urban land",$A14="Open urban land",$A14="Greenspace",$A14="Community food growing",$A14="Woodland",$A14="Shrub",$A14="Water"),"|||"&amp;$A14,(VLOOKUP(Nutrients_from_current_land_use!$B$5,Value_look_up_tables!$A$127:$B$127,2,FALSE)&amp;"|"&amp;$A14&amp;"|"&amp;VLOOKUP(Nutrients_from_current_land_use!$B$8,Value_look_up_tables!$A$140:$B$141,2,FALSE)&amp;"|"&amp;VLOOKUP(Nutrients_from_current_land_use!$B$7, Value_look_up_tables!$A$101:$C$123,3,FALSE)&amp;"|"&amp;VLOOKUP($B$6,Value_look_up_tables!$A$131:$B$136,2,FALSE)))), Value_look_up_tables!$F$16:$H$89,3,FALSE),IFERROR($B14*VLOOKUP($A14&amp;"|"&amp;VLOOKUP(Nutrients_from_current_land_use!$B$8,Value_look_up_tables!$A$140:$B$141,2,FALSE)&amp;"|"&amp;VLOOKUP(Nutrients_from_current_land_use!$B$7, Value_look_up_tables!$A$101:$C$123,3,FALSE)&amp;"|"&amp;VLOOKUP($B$6,Value_look_up_tables!$A$131:$B$136,2,FALSE),Value_look_up_tables!$F$16:$H$89,3,FALSE),"In the absence of real world data, this figure has been generated using the most relevant average nutrient export coefficient."))),"","In the absence of real world data, this figure has been generated using the most relevant average nutrient export coefficient."))</f>
        <v/>
      </c>
    </row>
    <row r="15" spans="1:7" ht="37.5" customHeight="1" x14ac:dyDescent="0.25">
      <c r="A15" s="5"/>
      <c r="B15" s="17"/>
      <c r="C15" s="87" t="str">
        <f>IF(OR(ISBLANK($A15),ISBLANK($B15),ISBLANK($B$6),ISBLANK($B$7)),"",IFERROR($B15*VLOOKUP((IF(OR($A15="Residential urban land",$A15="Commercial/industrial urban land",$A15="Open urban land",$A15="Greenspace",$A15="Community food growing",$A15="Woodland",$A15="Shrub", $A15="Water"), "|||"&amp;$A15, (VLOOKUP(Nutrients_from_current_land_use!$B$5,Value_look_up_tables!$A$127:$B$127,2,FALSE)&amp;"|"&amp;$A15&amp;"|"&amp;VLOOKUP(Nutrients_from_current_land_use!$B$8,Value_look_up_tables!$A$140:$B$141,2,FALSE)&amp;"|"&amp;VLOOKUP(Nutrients_from_current_land_use!$B$7,Value_look_up_tables!$A$101:$C$123,3,FALSE)&amp;"|"&amp;VLOOKUP($B$6,Value_look_up_tables!$A$131:$B$136,2,FALSE)))),Value_look_up_tables!$F$16:$H$97,2,FALSE),
IFERROR(IFERROR($B15*VLOOKUP($A15&amp;"|"&amp;VLOOKUP(Nutrients_from_current_land_use!$B$8,Value_look_up_tables!$A$140:$B$141,2,FALSE)&amp;"|"&amp;VLOOKUP(Nutrients_from_current_land_use!$B$7,Value_look_up_tables!$A$101:$C$123,3,FALSE)&amp;"|"&amp;VLOOKUP($B$6,Value_look_up_tables!$A$131:$B$136,2,FALSE),Value_look_up_tables!$F$16:$H$97,2,FALSE),IFERROR($B15*VLOOKUP($A15&amp;"|"&amp;"TRUE"&amp;"|"&amp;VLOOKUP(Nutrients_from_current_land_use!$B$7,Value_look_up_tables!$A$101:$C$123,3,FALSE)&amp;"|"&amp;VLOOKUP($B$6,Value_look_up_tables!$A$131:$B$136,2,FALSE),Value_look_up_tables!$F$16:$H$97,2,FALSE),$B15*VLOOKUP($A15&amp;"|"&amp;VLOOKUP(Nutrients_from_current_land_use!$B$8,Value_look_up_tables!$A$140:$B$141,2,FALSE)&amp;"|"&amp;VLOOKUP(Nutrients_from_current_land_use!$B$7,Value_look_up_tables!$A$101:$C$123,3,FALSE)&amp;"|"&amp;"DrainedArGr",Value_look_up_tables!$F$16:$H$97,2,FALSE))),IFERROR($B15*VLOOKUP($A15&amp;"|"&amp;VLOOKUP(Nutrients_from_current_land_use!$B$7,Value_look_up_tables!$A$101:$C$123,3,FALSE),Value_look_up_tables!$I$16:$K$89,2,FALSE),$B15*VLOOKUP($A15,Value_look_up_tables!$B$16:$M$89,11,FALSE)))))</f>
        <v/>
      </c>
      <c r="D15" s="87" t="str">
        <f>IF(OR(ISBLANK($A15),ISBLANK($B15),ISBLANK($B$6),ISBLANK($B$7)),"",IFERROR($B15*VLOOKUP((IF(OR($A15="Residential urban land",$A15="Commercial/industrial urban land",$A15="Open urban land",$A15="Greenspace",$A15="Community food growing",$A15="Woodland",$A15="Shrub", $A15="Water"), "|||"&amp;$A15, (VLOOKUP(Nutrients_from_current_land_use!$B$5,Value_look_up_tables!$A$127:$B$127,2,FALSE)&amp;"|"&amp;$A15&amp;"|"&amp;VLOOKUP(Nutrients_from_current_land_use!$B$8,Value_look_up_tables!$A$140:$B$141,2,FALSE)&amp;"|"&amp;VLOOKUP(Nutrients_from_current_land_use!$B$7,Value_look_up_tables!$A$101:$C$123,3,FALSE)&amp;"|"&amp;VLOOKUP($B$6,Value_look_up_tables!$A$131:$B$136,2,FALSE)))),Value_look_up_tables!$F$16:$H$97,3,FALSE),
IFERROR(IFERROR($B15*VLOOKUP($A15&amp;"|"&amp;VLOOKUP(Nutrients_from_current_land_use!$B$8,Value_look_up_tables!$A$140:$B$141,2,FALSE)&amp;"|"&amp;VLOOKUP(Nutrients_from_current_land_use!$B$7,Value_look_up_tables!$A$101:$C$123,3,FALSE)&amp;"|"&amp;VLOOKUP($B$6,Value_look_up_tables!$A$131:$B$136,2,FALSE),Value_look_up_tables!$F$16:$H$97,3,FALSE),IFERROR($B15*VLOOKUP($A15&amp;"|"&amp;"TRUE"&amp;"|"&amp;VLOOKUP(Nutrients_from_current_land_use!$B$7,Value_look_up_tables!$A$101:$C$123,3,FALSE)&amp;"|"&amp;VLOOKUP($B$6,Value_look_up_tables!$A$131:$B$136,2,FALSE),Value_look_up_tables!$F$16:$H$97,3,FALSE),$B15*VLOOKUP($A15&amp;"|"&amp;VLOOKUP(Nutrients_from_current_land_use!$B$8,Value_look_up_tables!$A$140:$B$141,2,FALSE)&amp;"|"&amp;VLOOKUP(Nutrients_from_current_land_use!$B$7,Value_look_up_tables!$A$101:$C$123,3,FALSE)&amp;"|"&amp;"DrainedArGr",Value_look_up_tables!$F$16:$H$97,3,FALSE))),IFERROR($B15*VLOOKUP($A15&amp;"|"&amp;VLOOKUP(Nutrients_from_current_land_use!$B$7,Value_look_up_tables!$A$101:$C$123,3,FALSE),Value_look_up_tables!$I$16:$K$89,3,FALSE),$B15*VLOOKUP($A15,Value_look_up_tables!$B$16:$M$89,12,FALSE)))))</f>
        <v/>
      </c>
      <c r="E15" s="6" t="str">
        <f>IF(OR(ISBLANK($A15),ISBLANK($B15),ISBLANK($B$6),ISBLANK($B$5),ISBLANK($B$7),$A15="Residential urban land",$A15="Commercial/industrial urban land",$A15="Open urban land",$A15="Greenspace",$A15="Community food growing",$A15="Woodland",$A15="Shrub",$A15="Water"),"",IF(ISNUMBER(IFERROR($B15*VLOOKUP((IF(OR($A15="Residential urban land",$A15="Commercial/industrial urban land",$A15="Open urban land",$A15="Greenspace",$A15="Community food growing",$A15="Woodland",$A15="Shrub",$A15="Water"),"|||"&amp;$A15,(VLOOKUP(Nutrients_from_current_land_use!$B$5,Value_look_up_tables!$A$127:$B$127,2,FALSE)&amp;"|"&amp;$A15&amp;"|"&amp;VLOOKUP(Nutrients_from_current_land_use!$B$8,Value_look_up_tables!$A$140:$B$141,2,FALSE)&amp;"|"&amp;VLOOKUP(Nutrients_from_current_land_use!$B$7, Value_look_up_tables!$A$101:$C$123,3,FALSE)&amp;"|"&amp;VLOOKUP($B$6,Value_look_up_tables!$A$131:$B$136,2,FALSE)))), Value_look_up_tables!$F$16:$H$89,3,FALSE),IFERROR($B15*VLOOKUP($A15&amp;"|"&amp;VLOOKUP(Nutrients_from_current_land_use!$B$8,Value_look_up_tables!$A$140:$B$141,2,FALSE)&amp;"|"&amp;VLOOKUP(Nutrients_from_current_land_use!$B$7, Value_look_up_tables!$A$101:$C$123,3,FALSE)&amp;"|"&amp;VLOOKUP($B$6,Value_look_up_tables!$A$131:$B$136,2,FALSE),Value_look_up_tables!$F$16:$H$89,3,FALSE),"In the absence of real world data, this figure has been generated using the most relevant average nutrient export coefficient."))),"","In the absence of real world data, this figure has been generated using the most relevant average nutrient export coefficient."))</f>
        <v/>
      </c>
    </row>
    <row r="16" spans="1:7" ht="37.5" customHeight="1" x14ac:dyDescent="0.25">
      <c r="A16" s="5"/>
      <c r="B16" s="17"/>
      <c r="C16" s="87" t="str">
        <f>IF(OR(ISBLANK($A16),ISBLANK($B16),ISBLANK($B$6),ISBLANK($B$7)),"",IFERROR($B16*VLOOKUP((IF(OR($A16="Residential urban land",$A16="Commercial/industrial urban land",$A16="Open urban land",$A16="Greenspace",$A16="Community food growing",$A16="Woodland",$A16="Shrub", $A16="Water"), "|||"&amp;$A16, (VLOOKUP(Nutrients_from_current_land_use!$B$5,Value_look_up_tables!$A$127:$B$127,2,FALSE)&amp;"|"&amp;$A16&amp;"|"&amp;VLOOKUP(Nutrients_from_current_land_use!$B$8,Value_look_up_tables!$A$140:$B$141,2,FALSE)&amp;"|"&amp;VLOOKUP(Nutrients_from_current_land_use!$B$7,Value_look_up_tables!$A$101:$C$123,3,FALSE)&amp;"|"&amp;VLOOKUP($B$6,Value_look_up_tables!$A$131:$B$136,2,FALSE)))),Value_look_up_tables!$F$16:$H$97,2,FALSE),
IFERROR(IFERROR($B16*VLOOKUP($A16&amp;"|"&amp;VLOOKUP(Nutrients_from_current_land_use!$B$8,Value_look_up_tables!$A$140:$B$141,2,FALSE)&amp;"|"&amp;VLOOKUP(Nutrients_from_current_land_use!$B$7,Value_look_up_tables!$A$101:$C$123,3,FALSE)&amp;"|"&amp;VLOOKUP($B$6,Value_look_up_tables!$A$131:$B$136,2,FALSE),Value_look_up_tables!$F$16:$H$97,2,FALSE),IFERROR($B16*VLOOKUP($A16&amp;"|"&amp;"TRUE"&amp;"|"&amp;VLOOKUP(Nutrients_from_current_land_use!$B$7,Value_look_up_tables!$A$101:$C$123,3,FALSE)&amp;"|"&amp;VLOOKUP($B$6,Value_look_up_tables!$A$131:$B$136,2,FALSE),Value_look_up_tables!$F$16:$H$97,2,FALSE),$B16*VLOOKUP($A16&amp;"|"&amp;VLOOKUP(Nutrients_from_current_land_use!$B$8,Value_look_up_tables!$A$140:$B$141,2,FALSE)&amp;"|"&amp;VLOOKUP(Nutrients_from_current_land_use!$B$7,Value_look_up_tables!$A$101:$C$123,3,FALSE)&amp;"|"&amp;"DrainedArGr",Value_look_up_tables!$F$16:$H$97,2,FALSE))),IFERROR($B16*VLOOKUP($A16&amp;"|"&amp;VLOOKUP(Nutrients_from_current_land_use!$B$7,Value_look_up_tables!$A$101:$C$123,3,FALSE),Value_look_up_tables!$I$16:$K$89,2,FALSE),$B16*VLOOKUP($A16,Value_look_up_tables!$B$16:$M$89,11,FALSE)))))</f>
        <v/>
      </c>
      <c r="D16" s="87" t="str">
        <f>IF(OR(ISBLANK($A16),ISBLANK($B16),ISBLANK($B$6),ISBLANK($B$7)),"",IFERROR($B16*VLOOKUP((IF(OR($A16="Residential urban land",$A16="Commercial/industrial urban land",$A16="Open urban land",$A16="Greenspace",$A16="Community food growing",$A16="Woodland",$A16="Shrub", $A16="Water"), "|||"&amp;$A16, (VLOOKUP(Nutrients_from_current_land_use!$B$5,Value_look_up_tables!$A$127:$B$127,2,FALSE)&amp;"|"&amp;$A16&amp;"|"&amp;VLOOKUP(Nutrients_from_current_land_use!$B$8,Value_look_up_tables!$A$140:$B$141,2,FALSE)&amp;"|"&amp;VLOOKUP(Nutrients_from_current_land_use!$B$7,Value_look_up_tables!$A$101:$C$123,3,FALSE)&amp;"|"&amp;VLOOKUP($B$6,Value_look_up_tables!$A$131:$B$136,2,FALSE)))),Value_look_up_tables!$F$16:$H$97,3,FALSE),
IFERROR(IFERROR($B16*VLOOKUP($A16&amp;"|"&amp;VLOOKUP(Nutrients_from_current_land_use!$B$8,Value_look_up_tables!$A$140:$B$141,2,FALSE)&amp;"|"&amp;VLOOKUP(Nutrients_from_current_land_use!$B$7,Value_look_up_tables!$A$101:$C$123,3,FALSE)&amp;"|"&amp;VLOOKUP($B$6,Value_look_up_tables!$A$131:$B$136,2,FALSE),Value_look_up_tables!$F$16:$H$97,3,FALSE),IFERROR($B16*VLOOKUP($A16&amp;"|"&amp;"TRUE"&amp;"|"&amp;VLOOKUP(Nutrients_from_current_land_use!$B$7,Value_look_up_tables!$A$101:$C$123,3,FALSE)&amp;"|"&amp;VLOOKUP($B$6,Value_look_up_tables!$A$131:$B$136,2,FALSE),Value_look_up_tables!$F$16:$H$97,3,FALSE),$B16*VLOOKUP($A16&amp;"|"&amp;VLOOKUP(Nutrients_from_current_land_use!$B$8,Value_look_up_tables!$A$140:$B$141,2,FALSE)&amp;"|"&amp;VLOOKUP(Nutrients_from_current_land_use!$B$7,Value_look_up_tables!$A$101:$C$123,3,FALSE)&amp;"|"&amp;"DrainedArGr",Value_look_up_tables!$F$16:$H$97,3,FALSE))),IFERROR($B16*VLOOKUP($A16&amp;"|"&amp;VLOOKUP(Nutrients_from_current_land_use!$B$7,Value_look_up_tables!$A$101:$C$123,3,FALSE),Value_look_up_tables!$I$16:$K$89,3,FALSE),$B16*VLOOKUP($A16,Value_look_up_tables!$B$16:$M$89,12,FALSE)))))</f>
        <v/>
      </c>
      <c r="E16" s="6" t="str">
        <f>IF(OR(ISBLANK($A16),ISBLANK($B16),ISBLANK($B$6),ISBLANK($B$5),ISBLANK($B$7),$A16="Residential urban land",$A16="Commercial/industrial urban land",$A16="Open urban land",$A16="Greenspace",$A16="Community food growing",$A16="Woodland",$A16="Shrub",$A16="Water"),"",IF(ISNUMBER(IFERROR($B16*VLOOKUP((IF(OR($A16="Residential urban land",$A16="Commercial/industrial urban land",$A16="Open urban land",$A16="Greenspace",$A16="Community food growing",$A16="Woodland",$A16="Shrub",$A16="Water"),"|||"&amp;$A16,(VLOOKUP(Nutrients_from_current_land_use!$B$5,Value_look_up_tables!$A$127:$B$127,2,FALSE)&amp;"|"&amp;$A16&amp;"|"&amp;VLOOKUP(Nutrients_from_current_land_use!$B$8,Value_look_up_tables!$A$140:$B$141,2,FALSE)&amp;"|"&amp;VLOOKUP(Nutrients_from_current_land_use!$B$7, Value_look_up_tables!$A$101:$C$123,3,FALSE)&amp;"|"&amp;VLOOKUP($B$6,Value_look_up_tables!$A$131:$B$136,2,FALSE)))), Value_look_up_tables!$F$16:$H$89,3,FALSE),IFERROR($B16*VLOOKUP($A16&amp;"|"&amp;VLOOKUP(Nutrients_from_current_land_use!$B$8,Value_look_up_tables!$A$140:$B$141,2,FALSE)&amp;"|"&amp;VLOOKUP(Nutrients_from_current_land_use!$B$7, Value_look_up_tables!$A$101:$C$123,3,FALSE)&amp;"|"&amp;VLOOKUP($B$6,Value_look_up_tables!$A$131:$B$136,2,FALSE),Value_look_up_tables!$F$16:$H$89,3,FALSE),"In the absence of real world data, this figure has been generated using the most relevant average nutrient export coefficient."))),"","In the absence of real world data, this figure has been generated using the most relevant average nutrient export coefficient."))</f>
        <v/>
      </c>
    </row>
    <row r="17" spans="1:7" ht="37.5" customHeight="1" x14ac:dyDescent="0.25">
      <c r="A17" s="5"/>
      <c r="B17" s="17"/>
      <c r="C17" s="87" t="str">
        <f>IF(OR(ISBLANK($A17),ISBLANK($B17),ISBLANK($B$6),ISBLANK($B$7)),"",IFERROR($B17*VLOOKUP((IF(OR($A17="Residential urban land",$A17="Commercial/industrial urban land",$A17="Open urban land",$A17="Greenspace",$A17="Community food growing",$A17="Woodland",$A17="Shrub", $A17="Water"), "|||"&amp;$A17, (VLOOKUP(Nutrients_from_current_land_use!$B$5,Value_look_up_tables!$A$127:$B$127,2,FALSE)&amp;"|"&amp;$A17&amp;"|"&amp;VLOOKUP(Nutrients_from_current_land_use!$B$8,Value_look_up_tables!$A$140:$B$141,2,FALSE)&amp;"|"&amp;VLOOKUP(Nutrients_from_current_land_use!$B$7,Value_look_up_tables!$A$101:$C$123,3,FALSE)&amp;"|"&amp;VLOOKUP($B$6,Value_look_up_tables!$A$131:$B$136,2,FALSE)))),Value_look_up_tables!$F$16:$H$97,2,FALSE),
IFERROR(IFERROR($B17*VLOOKUP($A17&amp;"|"&amp;VLOOKUP(Nutrients_from_current_land_use!$B$8,Value_look_up_tables!$A$140:$B$141,2,FALSE)&amp;"|"&amp;VLOOKUP(Nutrients_from_current_land_use!$B$7,Value_look_up_tables!$A$101:$C$123,3,FALSE)&amp;"|"&amp;VLOOKUP($B$6,Value_look_up_tables!$A$131:$B$136,2,FALSE),Value_look_up_tables!$F$16:$H$97,2,FALSE),IFERROR($B17*VLOOKUP($A17&amp;"|"&amp;"TRUE"&amp;"|"&amp;VLOOKUP(Nutrients_from_current_land_use!$B$7,Value_look_up_tables!$A$101:$C$123,3,FALSE)&amp;"|"&amp;VLOOKUP($B$6,Value_look_up_tables!$A$131:$B$136,2,FALSE),Value_look_up_tables!$F$16:$H$97,2,FALSE),$B17*VLOOKUP($A17&amp;"|"&amp;VLOOKUP(Nutrients_from_current_land_use!$B$8,Value_look_up_tables!$A$140:$B$141,2,FALSE)&amp;"|"&amp;VLOOKUP(Nutrients_from_current_land_use!$B$7,Value_look_up_tables!$A$101:$C$123,3,FALSE)&amp;"|"&amp;"DrainedArGr",Value_look_up_tables!$F$16:$H$97,2,FALSE))),IFERROR($B17*VLOOKUP($A17&amp;"|"&amp;VLOOKUP(Nutrients_from_current_land_use!$B$7,Value_look_up_tables!$A$101:$C$123,3,FALSE),Value_look_up_tables!$I$16:$K$89,2,FALSE),$B17*VLOOKUP($A17,Value_look_up_tables!$B$16:$M$89,11,FALSE)))))</f>
        <v/>
      </c>
      <c r="D17" s="87" t="str">
        <f>IF(OR(ISBLANK($A17),ISBLANK($B17),ISBLANK($B$6),ISBLANK($B$7)),"",IFERROR($B17*VLOOKUP((IF(OR($A17="Residential urban land",$A17="Commercial/industrial urban land",$A17="Open urban land",$A17="Greenspace",$A17="Community food growing",$A17="Woodland",$A17="Shrub", $A17="Water"), "|||"&amp;$A17, (VLOOKUP(Nutrients_from_current_land_use!$B$5,Value_look_up_tables!$A$127:$B$127,2,FALSE)&amp;"|"&amp;$A17&amp;"|"&amp;VLOOKUP(Nutrients_from_current_land_use!$B$8,Value_look_up_tables!$A$140:$B$141,2,FALSE)&amp;"|"&amp;VLOOKUP(Nutrients_from_current_land_use!$B$7,Value_look_up_tables!$A$101:$C$123,3,FALSE)&amp;"|"&amp;VLOOKUP($B$6,Value_look_up_tables!$A$131:$B$136,2,FALSE)))),Value_look_up_tables!$F$16:$H$97,3,FALSE),
IFERROR(IFERROR($B17*VLOOKUP($A17&amp;"|"&amp;VLOOKUP(Nutrients_from_current_land_use!$B$8,Value_look_up_tables!$A$140:$B$141,2,FALSE)&amp;"|"&amp;VLOOKUP(Nutrients_from_current_land_use!$B$7,Value_look_up_tables!$A$101:$C$123,3,FALSE)&amp;"|"&amp;VLOOKUP($B$6,Value_look_up_tables!$A$131:$B$136,2,FALSE),Value_look_up_tables!$F$16:$H$97,3,FALSE),IFERROR($B17*VLOOKUP($A17&amp;"|"&amp;"TRUE"&amp;"|"&amp;VLOOKUP(Nutrients_from_current_land_use!$B$7,Value_look_up_tables!$A$101:$C$123,3,FALSE)&amp;"|"&amp;VLOOKUP($B$6,Value_look_up_tables!$A$131:$B$136,2,FALSE),Value_look_up_tables!$F$16:$H$97,3,FALSE),$B17*VLOOKUP($A17&amp;"|"&amp;VLOOKUP(Nutrients_from_current_land_use!$B$8,Value_look_up_tables!$A$140:$B$141,2,FALSE)&amp;"|"&amp;VLOOKUP(Nutrients_from_current_land_use!$B$7,Value_look_up_tables!$A$101:$C$123,3,FALSE)&amp;"|"&amp;"DrainedArGr",Value_look_up_tables!$F$16:$H$97,3,FALSE))),IFERROR($B17*VLOOKUP($A17&amp;"|"&amp;VLOOKUP(Nutrients_from_current_land_use!$B$7,Value_look_up_tables!$A$101:$C$123,3,FALSE),Value_look_up_tables!$I$16:$K$89,3,FALSE),$B17*VLOOKUP($A17,Value_look_up_tables!$B$16:$M$89,12,FALSE)))))</f>
        <v/>
      </c>
      <c r="E17" s="6" t="str">
        <f>IF(OR(ISBLANK($A17),ISBLANK($B17),ISBLANK($B$6),ISBLANK($B$5),ISBLANK($B$7),$A17="Residential urban land",$A17="Commercial/industrial urban land",$A17="Open urban land",$A17="Greenspace",$A17="Community food growing",$A17="Woodland",$A17="Shrub",$A17="Water"),"",IF(ISNUMBER(IFERROR($B17*VLOOKUP((IF(OR($A17="Residential urban land",$A17="Commercial/industrial urban land",$A17="Open urban land",$A17="Greenspace",$A17="Community food growing",$A17="Woodland",$A17="Shrub",$A17="Water"),"|||"&amp;$A17,(VLOOKUP(Nutrients_from_current_land_use!$B$5,Value_look_up_tables!$A$127:$B$127,2,FALSE)&amp;"|"&amp;$A17&amp;"|"&amp;VLOOKUP(Nutrients_from_current_land_use!$B$8,Value_look_up_tables!$A$140:$B$141,2,FALSE)&amp;"|"&amp;VLOOKUP(Nutrients_from_current_land_use!$B$7, Value_look_up_tables!$A$101:$C$123,3,FALSE)&amp;"|"&amp;VLOOKUP($B$6,Value_look_up_tables!$A$131:$B$136,2,FALSE)))), Value_look_up_tables!$F$16:$H$89,3,FALSE),IFERROR($B17*VLOOKUP($A17&amp;"|"&amp;VLOOKUP(Nutrients_from_current_land_use!$B$8,Value_look_up_tables!$A$140:$B$141,2,FALSE)&amp;"|"&amp;VLOOKUP(Nutrients_from_current_land_use!$B$7, Value_look_up_tables!$A$101:$C$123,3,FALSE)&amp;"|"&amp;VLOOKUP($B$6,Value_look_up_tables!$A$131:$B$136,2,FALSE),Value_look_up_tables!$F$16:$H$89,3,FALSE),"In the absence of real world data, this figure has been generated using the most relevant average nutrient export coefficient."))),"","In the absence of real world data, this figure has been generated using the most relevant average nutrient export coefficient."))</f>
        <v/>
      </c>
    </row>
    <row r="18" spans="1:7" ht="37.5" customHeight="1" x14ac:dyDescent="0.25">
      <c r="A18" s="5"/>
      <c r="B18" s="17"/>
      <c r="C18" s="87" t="str">
        <f>IF(OR(ISBLANK($A18),ISBLANK($B18),ISBLANK($B$6),ISBLANK($B$7)),"",IFERROR($B18*VLOOKUP((IF(OR($A18="Residential urban land",$A18="Commercial/industrial urban land",$A18="Open urban land",$A18="Greenspace",$A18="Community food growing",$A18="Woodland",$A18="Shrub", $A18="Water"), "|||"&amp;$A18, (VLOOKUP(Nutrients_from_current_land_use!$B$5,Value_look_up_tables!$A$127:$B$127,2,FALSE)&amp;"|"&amp;$A18&amp;"|"&amp;VLOOKUP(Nutrients_from_current_land_use!$B$8,Value_look_up_tables!$A$140:$B$141,2,FALSE)&amp;"|"&amp;VLOOKUP(Nutrients_from_current_land_use!$B$7,Value_look_up_tables!$A$101:$C$123,3,FALSE)&amp;"|"&amp;VLOOKUP($B$6,Value_look_up_tables!$A$131:$B$136,2,FALSE)))),Value_look_up_tables!$F$16:$H$97,2,FALSE),
IFERROR(IFERROR($B18*VLOOKUP($A18&amp;"|"&amp;VLOOKUP(Nutrients_from_current_land_use!$B$8,Value_look_up_tables!$A$140:$B$141,2,FALSE)&amp;"|"&amp;VLOOKUP(Nutrients_from_current_land_use!$B$7,Value_look_up_tables!$A$101:$C$123,3,FALSE)&amp;"|"&amp;VLOOKUP($B$6,Value_look_up_tables!$A$131:$B$136,2,FALSE),Value_look_up_tables!$F$16:$H$97,2,FALSE),IFERROR($B18*VLOOKUP($A18&amp;"|"&amp;"TRUE"&amp;"|"&amp;VLOOKUP(Nutrients_from_current_land_use!$B$7,Value_look_up_tables!$A$101:$C$123,3,FALSE)&amp;"|"&amp;VLOOKUP($B$6,Value_look_up_tables!$A$131:$B$136,2,FALSE),Value_look_up_tables!$F$16:$H$97,2,FALSE),$B18*VLOOKUP($A18&amp;"|"&amp;VLOOKUP(Nutrients_from_current_land_use!$B$8,Value_look_up_tables!$A$140:$B$141,2,FALSE)&amp;"|"&amp;VLOOKUP(Nutrients_from_current_land_use!$B$7,Value_look_up_tables!$A$101:$C$123,3,FALSE)&amp;"|"&amp;"DrainedArGr",Value_look_up_tables!$F$16:$H$97,2,FALSE))),IFERROR($B18*VLOOKUP($A18&amp;"|"&amp;VLOOKUP(Nutrients_from_current_land_use!$B$7,Value_look_up_tables!$A$101:$C$123,3,FALSE),Value_look_up_tables!$I$16:$K$89,2,FALSE),$B18*VLOOKUP($A18,Value_look_up_tables!$B$16:$M$89,11,FALSE)))))</f>
        <v/>
      </c>
      <c r="D18" s="87" t="str">
        <f>IF(OR(ISBLANK($A18),ISBLANK($B18),ISBLANK($B$6),ISBLANK($B$7)),"",IFERROR($B18*VLOOKUP((IF(OR($A18="Residential urban land",$A18="Commercial/industrial urban land",$A18="Open urban land",$A18="Greenspace",$A18="Community food growing",$A18="Woodland",$A18="Shrub", $A18="Water"), "|||"&amp;$A18, (VLOOKUP(Nutrients_from_current_land_use!$B$5,Value_look_up_tables!$A$127:$B$127,2,FALSE)&amp;"|"&amp;$A18&amp;"|"&amp;VLOOKUP(Nutrients_from_current_land_use!$B$8,Value_look_up_tables!$A$140:$B$141,2,FALSE)&amp;"|"&amp;VLOOKUP(Nutrients_from_current_land_use!$B$7,Value_look_up_tables!$A$101:$C$123,3,FALSE)&amp;"|"&amp;VLOOKUP($B$6,Value_look_up_tables!$A$131:$B$136,2,FALSE)))),Value_look_up_tables!$F$16:$H$97,3,FALSE),
IFERROR(IFERROR($B18*VLOOKUP($A18&amp;"|"&amp;VLOOKUP(Nutrients_from_current_land_use!$B$8,Value_look_up_tables!$A$140:$B$141,2,FALSE)&amp;"|"&amp;VLOOKUP(Nutrients_from_current_land_use!$B$7,Value_look_up_tables!$A$101:$C$123,3,FALSE)&amp;"|"&amp;VLOOKUP($B$6,Value_look_up_tables!$A$131:$B$136,2,FALSE),Value_look_up_tables!$F$16:$H$97,3,FALSE),IFERROR($B18*VLOOKUP($A18&amp;"|"&amp;"TRUE"&amp;"|"&amp;VLOOKUP(Nutrients_from_current_land_use!$B$7,Value_look_up_tables!$A$101:$C$123,3,FALSE)&amp;"|"&amp;VLOOKUP($B$6,Value_look_up_tables!$A$131:$B$136,2,FALSE),Value_look_up_tables!$F$16:$H$97,3,FALSE),$B18*VLOOKUP($A18&amp;"|"&amp;VLOOKUP(Nutrients_from_current_land_use!$B$8,Value_look_up_tables!$A$140:$B$141,2,FALSE)&amp;"|"&amp;VLOOKUP(Nutrients_from_current_land_use!$B$7,Value_look_up_tables!$A$101:$C$123,3,FALSE)&amp;"|"&amp;"DrainedArGr",Value_look_up_tables!$F$16:$H$97,3,FALSE))),IFERROR($B18*VLOOKUP($A18&amp;"|"&amp;VLOOKUP(Nutrients_from_current_land_use!$B$7,Value_look_up_tables!$A$101:$C$123,3,FALSE),Value_look_up_tables!$I$16:$K$89,3,FALSE),$B18*VLOOKUP($A18,Value_look_up_tables!$B$16:$M$89,12,FALSE)))))</f>
        <v/>
      </c>
      <c r="E18" s="6" t="str">
        <f>IF(OR(ISBLANK($A18),ISBLANK($B18),ISBLANK($B$6),ISBLANK($B$5),ISBLANK($B$7),$A18="Residential urban land",$A18="Commercial/industrial urban land",$A18="Open urban land",$A18="Greenspace",$A18="Community food growing",$A18="Woodland",$A18="Shrub",$A18="Water"),"",IF(ISNUMBER(IFERROR($B18*VLOOKUP((IF(OR($A18="Residential urban land",$A18="Commercial/industrial urban land",$A18="Open urban land",$A18="Greenspace",$A18="Community food growing",$A18="Woodland",$A18="Shrub",$A18="Water"),"|||"&amp;$A18,(VLOOKUP(Nutrients_from_current_land_use!$B$5,Value_look_up_tables!$A$127:$B$127,2,FALSE)&amp;"|"&amp;$A18&amp;"|"&amp;VLOOKUP(Nutrients_from_current_land_use!$B$8,Value_look_up_tables!$A$140:$B$141,2,FALSE)&amp;"|"&amp;VLOOKUP(Nutrients_from_current_land_use!$B$7, Value_look_up_tables!$A$101:$C$123,3,FALSE)&amp;"|"&amp;VLOOKUP($B$6,Value_look_up_tables!$A$131:$B$136,2,FALSE)))), Value_look_up_tables!$F$16:$H$89,3,FALSE),IFERROR($B18*VLOOKUP($A18&amp;"|"&amp;VLOOKUP(Nutrients_from_current_land_use!$B$8,Value_look_up_tables!$A$140:$B$141,2,FALSE)&amp;"|"&amp;VLOOKUP(Nutrients_from_current_land_use!$B$7, Value_look_up_tables!$A$101:$C$123,3,FALSE)&amp;"|"&amp;VLOOKUP($B$6,Value_look_up_tables!$A$131:$B$136,2,FALSE),Value_look_up_tables!$F$16:$H$89,3,FALSE),"In the absence of real world data, this figure has been generated using the most relevant average nutrient export coefficient."))),"","In the absence of real world data, this figure has been generated using the most relevant average nutrient export coefficient."))</f>
        <v/>
      </c>
    </row>
    <row r="19" spans="1:7" ht="37.5" customHeight="1" x14ac:dyDescent="0.25">
      <c r="A19" s="5"/>
      <c r="B19" s="17"/>
      <c r="C19" s="87" t="str">
        <f>IF(OR(ISBLANK($A19),ISBLANK($B19),ISBLANK($B$6),ISBLANK($B$7)),"",IFERROR($B19*VLOOKUP((IF(OR($A19="Residential urban land",$A19="Commercial/industrial urban land",$A19="Open urban land",$A19="Greenspace",$A19="Community food growing",$A19="Woodland",$A19="Shrub", $A19="Water"), "|||"&amp;$A19, (VLOOKUP(Nutrients_from_current_land_use!$B$5,Value_look_up_tables!$A$127:$B$127,2,FALSE)&amp;"|"&amp;$A19&amp;"|"&amp;VLOOKUP(Nutrients_from_current_land_use!$B$8,Value_look_up_tables!$A$140:$B$141,2,FALSE)&amp;"|"&amp;VLOOKUP(Nutrients_from_current_land_use!$B$7,Value_look_up_tables!$A$101:$C$123,3,FALSE)&amp;"|"&amp;VLOOKUP($B$6,Value_look_up_tables!$A$131:$B$136,2,FALSE)))),Value_look_up_tables!$F$16:$H$97,2,FALSE),
IFERROR(IFERROR($B19*VLOOKUP($A19&amp;"|"&amp;VLOOKUP(Nutrients_from_current_land_use!$B$8,Value_look_up_tables!$A$140:$B$141,2,FALSE)&amp;"|"&amp;VLOOKUP(Nutrients_from_current_land_use!$B$7,Value_look_up_tables!$A$101:$C$123,3,FALSE)&amp;"|"&amp;VLOOKUP($B$6,Value_look_up_tables!$A$131:$B$136,2,FALSE),Value_look_up_tables!$F$16:$H$97,2,FALSE),IFERROR($B19*VLOOKUP($A19&amp;"|"&amp;"TRUE"&amp;"|"&amp;VLOOKUP(Nutrients_from_current_land_use!$B$7,Value_look_up_tables!$A$101:$C$123,3,FALSE)&amp;"|"&amp;VLOOKUP($B$6,Value_look_up_tables!$A$131:$B$136,2,FALSE),Value_look_up_tables!$F$16:$H$97,2,FALSE),$B19*VLOOKUP($A19&amp;"|"&amp;VLOOKUP(Nutrients_from_current_land_use!$B$8,Value_look_up_tables!$A$140:$B$141,2,FALSE)&amp;"|"&amp;VLOOKUP(Nutrients_from_current_land_use!$B$7,Value_look_up_tables!$A$101:$C$123,3,FALSE)&amp;"|"&amp;"DrainedArGr",Value_look_up_tables!$F$16:$H$97,2,FALSE))),IFERROR($B19*VLOOKUP($A19&amp;"|"&amp;VLOOKUP(Nutrients_from_current_land_use!$B$7,Value_look_up_tables!$A$101:$C$123,3,FALSE),Value_look_up_tables!$I$16:$K$89,2,FALSE),$B19*VLOOKUP($A19,Value_look_up_tables!$B$16:$M$89,11,FALSE)))))</f>
        <v/>
      </c>
      <c r="D19" s="87" t="str">
        <f>IF(OR(ISBLANK($A19),ISBLANK($B19),ISBLANK($B$6),ISBLANK($B$7)),"",IFERROR($B19*VLOOKUP((IF(OR($A19="Residential urban land",$A19="Commercial/industrial urban land",$A19="Open urban land",$A19="Greenspace",$A19="Community food growing",$A19="Woodland",$A19="Shrub", $A19="Water"), "|||"&amp;$A19, (VLOOKUP(Nutrients_from_current_land_use!$B$5,Value_look_up_tables!$A$127:$B$127,2,FALSE)&amp;"|"&amp;$A19&amp;"|"&amp;VLOOKUP(Nutrients_from_current_land_use!$B$8,Value_look_up_tables!$A$140:$B$141,2,FALSE)&amp;"|"&amp;VLOOKUP(Nutrients_from_current_land_use!$B$7,Value_look_up_tables!$A$101:$C$123,3,FALSE)&amp;"|"&amp;VLOOKUP($B$6,Value_look_up_tables!$A$131:$B$136,2,FALSE)))),Value_look_up_tables!$F$16:$H$97,3,FALSE),
IFERROR(IFERROR($B19*VLOOKUP($A19&amp;"|"&amp;VLOOKUP(Nutrients_from_current_land_use!$B$8,Value_look_up_tables!$A$140:$B$141,2,FALSE)&amp;"|"&amp;VLOOKUP(Nutrients_from_current_land_use!$B$7,Value_look_up_tables!$A$101:$C$123,3,FALSE)&amp;"|"&amp;VLOOKUP($B$6,Value_look_up_tables!$A$131:$B$136,2,FALSE),Value_look_up_tables!$F$16:$H$97,3,FALSE),IFERROR($B19*VLOOKUP($A19&amp;"|"&amp;"TRUE"&amp;"|"&amp;VLOOKUP(Nutrients_from_current_land_use!$B$7,Value_look_up_tables!$A$101:$C$123,3,FALSE)&amp;"|"&amp;VLOOKUP($B$6,Value_look_up_tables!$A$131:$B$136,2,FALSE),Value_look_up_tables!$F$16:$H$97,3,FALSE),$B19*VLOOKUP($A19&amp;"|"&amp;VLOOKUP(Nutrients_from_current_land_use!$B$8,Value_look_up_tables!$A$140:$B$141,2,FALSE)&amp;"|"&amp;VLOOKUP(Nutrients_from_current_land_use!$B$7,Value_look_up_tables!$A$101:$C$123,3,FALSE)&amp;"|"&amp;"DrainedArGr",Value_look_up_tables!$F$16:$H$97,3,FALSE))),IFERROR($B19*VLOOKUP($A19&amp;"|"&amp;VLOOKUP(Nutrients_from_current_land_use!$B$7,Value_look_up_tables!$A$101:$C$123,3,FALSE),Value_look_up_tables!$I$16:$K$89,3,FALSE),$B19*VLOOKUP($A19,Value_look_up_tables!$B$16:$M$89,12,FALSE)))))</f>
        <v/>
      </c>
      <c r="E19" s="6" t="str">
        <f>IF(OR(ISBLANK($A19),ISBLANK($B19),ISBLANK($B$6),ISBLANK($B$5),ISBLANK($B$7),$A19="Residential urban land",$A19="Commercial/industrial urban land",$A19="Open urban land",$A19="Greenspace",$A19="Community food growing",$A19="Woodland",$A19="Shrub",$A19="Water"),"",IF(ISNUMBER(IFERROR($B19*VLOOKUP((IF(OR($A19="Residential urban land",$A19="Commercial/industrial urban land",$A19="Open urban land",$A19="Greenspace",$A19="Community food growing",$A19="Woodland",$A19="Shrub",$A19="Water"),"|||"&amp;$A19,(VLOOKUP(Nutrients_from_current_land_use!$B$5,Value_look_up_tables!$A$127:$B$127,2,FALSE)&amp;"|"&amp;$A19&amp;"|"&amp;VLOOKUP(Nutrients_from_current_land_use!$B$8,Value_look_up_tables!$A$140:$B$141,2,FALSE)&amp;"|"&amp;VLOOKUP(Nutrients_from_current_land_use!$B$7, Value_look_up_tables!$A$101:$C$123,3,FALSE)&amp;"|"&amp;VLOOKUP($B$6,Value_look_up_tables!$A$131:$B$136,2,FALSE)))), Value_look_up_tables!$F$16:$H$89,3,FALSE),IFERROR($B19*VLOOKUP($A19&amp;"|"&amp;VLOOKUP(Nutrients_from_current_land_use!$B$8,Value_look_up_tables!$A$140:$B$141,2,FALSE)&amp;"|"&amp;VLOOKUP(Nutrients_from_current_land_use!$B$7, Value_look_up_tables!$A$101:$C$123,3,FALSE)&amp;"|"&amp;VLOOKUP($B$6,Value_look_up_tables!$A$131:$B$136,2,FALSE),Value_look_up_tables!$F$16:$H$89,3,FALSE),"In the absence of real world data, this figure has been generated using the most relevant average nutrient export coefficient."))),"","In the absence of real world data, this figure has been generated using the most relevant average nutrient export coefficient."))</f>
        <v/>
      </c>
    </row>
    <row r="20" spans="1:7" ht="37.5" customHeight="1" x14ac:dyDescent="0.25">
      <c r="A20" s="5"/>
      <c r="B20" s="17"/>
      <c r="C20" s="87" t="str">
        <f>IF(OR(ISBLANK($A20),ISBLANK($B20),ISBLANK($B$6),ISBLANK($B$7)),"",IFERROR($B20*VLOOKUP((IF(OR($A20="Residential urban land",$A20="Commercial/industrial urban land",$A20="Open urban land",$A20="Greenspace",$A20="Community food growing",$A20="Woodland",$A20="Shrub", $A20="Water"), "|||"&amp;$A20, (VLOOKUP(Nutrients_from_current_land_use!$B$5,Value_look_up_tables!$A$127:$B$127,2,FALSE)&amp;"|"&amp;$A20&amp;"|"&amp;VLOOKUP(Nutrients_from_current_land_use!$B$8,Value_look_up_tables!$A$140:$B$141,2,FALSE)&amp;"|"&amp;VLOOKUP(Nutrients_from_current_land_use!$B$7,Value_look_up_tables!$A$101:$C$123,3,FALSE)&amp;"|"&amp;VLOOKUP($B$6,Value_look_up_tables!$A$131:$B$136,2,FALSE)))),Value_look_up_tables!$F$16:$H$97,2,FALSE),
IFERROR(IFERROR($B20*VLOOKUP($A20&amp;"|"&amp;VLOOKUP(Nutrients_from_current_land_use!$B$8,Value_look_up_tables!$A$140:$B$141,2,FALSE)&amp;"|"&amp;VLOOKUP(Nutrients_from_current_land_use!$B$7,Value_look_up_tables!$A$101:$C$123,3,FALSE)&amp;"|"&amp;VLOOKUP($B$6,Value_look_up_tables!$A$131:$B$136,2,FALSE),Value_look_up_tables!$F$16:$H$97,2,FALSE),IFERROR($B20*VLOOKUP($A20&amp;"|"&amp;"TRUE"&amp;"|"&amp;VLOOKUP(Nutrients_from_current_land_use!$B$7,Value_look_up_tables!$A$101:$C$123,3,FALSE)&amp;"|"&amp;VLOOKUP($B$6,Value_look_up_tables!$A$131:$B$136,2,FALSE),Value_look_up_tables!$F$16:$H$97,2,FALSE),$B20*VLOOKUP($A20&amp;"|"&amp;VLOOKUP(Nutrients_from_current_land_use!$B$8,Value_look_up_tables!$A$140:$B$141,2,FALSE)&amp;"|"&amp;VLOOKUP(Nutrients_from_current_land_use!$B$7,Value_look_up_tables!$A$101:$C$123,3,FALSE)&amp;"|"&amp;"DrainedArGr",Value_look_up_tables!$F$16:$H$97,2,FALSE))),IFERROR($B20*VLOOKUP($A20&amp;"|"&amp;VLOOKUP(Nutrients_from_current_land_use!$B$7,Value_look_up_tables!$A$101:$C$123,3,FALSE),Value_look_up_tables!$I$16:$K$89,2,FALSE),$B20*VLOOKUP($A20,Value_look_up_tables!$B$16:$M$89,11,FALSE)))))</f>
        <v/>
      </c>
      <c r="D20" s="87" t="str">
        <f>IF(OR(ISBLANK($A20),ISBLANK($B20),ISBLANK($B$6),ISBLANK($B$7)),"",IFERROR($B20*VLOOKUP((IF(OR($A20="Residential urban land",$A20="Commercial/industrial urban land",$A20="Open urban land",$A20="Greenspace",$A20="Community food growing",$A20="Woodland",$A20="Shrub", $A20="Water"), "|||"&amp;$A20, (VLOOKUP(Nutrients_from_current_land_use!$B$5,Value_look_up_tables!$A$127:$B$127,2,FALSE)&amp;"|"&amp;$A20&amp;"|"&amp;VLOOKUP(Nutrients_from_current_land_use!$B$8,Value_look_up_tables!$A$140:$B$141,2,FALSE)&amp;"|"&amp;VLOOKUP(Nutrients_from_current_land_use!$B$7,Value_look_up_tables!$A$101:$C$123,3,FALSE)&amp;"|"&amp;VLOOKUP($B$6,Value_look_up_tables!$A$131:$B$136,2,FALSE)))),Value_look_up_tables!$F$16:$H$97,3,FALSE),
IFERROR(IFERROR($B20*VLOOKUP($A20&amp;"|"&amp;VLOOKUP(Nutrients_from_current_land_use!$B$8,Value_look_up_tables!$A$140:$B$141,2,FALSE)&amp;"|"&amp;VLOOKUP(Nutrients_from_current_land_use!$B$7,Value_look_up_tables!$A$101:$C$123,3,FALSE)&amp;"|"&amp;VLOOKUP($B$6,Value_look_up_tables!$A$131:$B$136,2,FALSE),Value_look_up_tables!$F$16:$H$97,3,FALSE),IFERROR($B20*VLOOKUP($A20&amp;"|"&amp;"TRUE"&amp;"|"&amp;VLOOKUP(Nutrients_from_current_land_use!$B$7,Value_look_up_tables!$A$101:$C$123,3,FALSE)&amp;"|"&amp;VLOOKUP($B$6,Value_look_up_tables!$A$131:$B$136,2,FALSE),Value_look_up_tables!$F$16:$H$97,3,FALSE),$B20*VLOOKUP($A20&amp;"|"&amp;VLOOKUP(Nutrients_from_current_land_use!$B$8,Value_look_up_tables!$A$140:$B$141,2,FALSE)&amp;"|"&amp;VLOOKUP(Nutrients_from_current_land_use!$B$7,Value_look_up_tables!$A$101:$C$123,3,FALSE)&amp;"|"&amp;"DrainedArGr",Value_look_up_tables!$F$16:$H$97,3,FALSE))),IFERROR($B20*VLOOKUP($A20&amp;"|"&amp;VLOOKUP(Nutrients_from_current_land_use!$B$7,Value_look_up_tables!$A$101:$C$123,3,FALSE),Value_look_up_tables!$I$16:$K$89,3,FALSE),$B20*VLOOKUP($A20,Value_look_up_tables!$B$16:$M$89,12,FALSE)))))</f>
        <v/>
      </c>
      <c r="E20" s="6" t="str">
        <f>IF(OR(ISBLANK($A20),ISBLANK($B20),ISBLANK($B$6),ISBLANK($B$5),ISBLANK($B$7),$A20="Residential urban land",$A20="Commercial/industrial urban land",$A20="Open urban land",$A20="Greenspace",$A20="Community food growing",$A20="Woodland",$A20="Shrub",$A20="Water"),"",IF(ISNUMBER(IFERROR($B20*VLOOKUP((IF(OR($A20="Residential urban land",$A20="Commercial/industrial urban land",$A20="Open urban land",$A20="Greenspace",$A20="Community food growing",$A20="Woodland",$A20="Shrub",$A20="Water"),"|||"&amp;$A20,(VLOOKUP(Nutrients_from_current_land_use!$B$5,Value_look_up_tables!$A$127:$B$127,2,FALSE)&amp;"|"&amp;$A20&amp;"|"&amp;VLOOKUP(Nutrients_from_current_land_use!$B$8,Value_look_up_tables!$A$140:$B$141,2,FALSE)&amp;"|"&amp;VLOOKUP(Nutrients_from_current_land_use!$B$7, Value_look_up_tables!$A$101:$C$123,3,FALSE)&amp;"|"&amp;VLOOKUP($B$6,Value_look_up_tables!$A$131:$B$136,2,FALSE)))), Value_look_up_tables!$F$16:$H$89,3,FALSE),IFERROR($B20*VLOOKUP($A20&amp;"|"&amp;VLOOKUP(Nutrients_from_current_land_use!$B$8,Value_look_up_tables!$A$140:$B$141,2,FALSE)&amp;"|"&amp;VLOOKUP(Nutrients_from_current_land_use!$B$7, Value_look_up_tables!$A$101:$C$123,3,FALSE)&amp;"|"&amp;VLOOKUP($B$6,Value_look_up_tables!$A$131:$B$136,2,FALSE),Value_look_up_tables!$F$16:$H$89,3,FALSE),"In the absence of real world data, this figure has been generated using the most relevant average nutrient export coefficient."))),"","In the absence of real world data, this figure has been generated using the most relevant average nutrient export coefficient."))</f>
        <v/>
      </c>
    </row>
    <row r="21" spans="1:7" ht="37.5" customHeight="1" x14ac:dyDescent="0.25">
      <c r="A21" s="5"/>
      <c r="B21" s="17"/>
      <c r="C21" s="87" t="str">
        <f>IF(OR(ISBLANK($A21),ISBLANK($B21),ISBLANK($B$6),ISBLANK($B$7)),"",IFERROR($B21*VLOOKUP((IF(OR($A21="Residential urban land",$A21="Commercial/industrial urban land",$A21="Open urban land",$A21="Greenspace",$A21="Community food growing",$A21="Woodland",$A21="Shrub", $A21="Water"), "|||"&amp;$A21, (VLOOKUP(Nutrients_from_current_land_use!$B$5,Value_look_up_tables!$A$127:$B$127,2,FALSE)&amp;"|"&amp;$A21&amp;"|"&amp;VLOOKUP(Nutrients_from_current_land_use!$B$8,Value_look_up_tables!$A$140:$B$141,2,FALSE)&amp;"|"&amp;VLOOKUP(Nutrients_from_current_land_use!$B$7,Value_look_up_tables!$A$101:$C$123,3,FALSE)&amp;"|"&amp;VLOOKUP($B$6,Value_look_up_tables!$A$131:$B$136,2,FALSE)))),Value_look_up_tables!$F$16:$H$97,2,FALSE),
IFERROR(IFERROR($B21*VLOOKUP($A21&amp;"|"&amp;VLOOKUP(Nutrients_from_current_land_use!$B$8,Value_look_up_tables!$A$140:$B$141,2,FALSE)&amp;"|"&amp;VLOOKUP(Nutrients_from_current_land_use!$B$7,Value_look_up_tables!$A$101:$C$123,3,FALSE)&amp;"|"&amp;VLOOKUP($B$6,Value_look_up_tables!$A$131:$B$136,2,FALSE),Value_look_up_tables!$F$16:$H$97,2,FALSE),IFERROR($B21*VLOOKUP($A21&amp;"|"&amp;"TRUE"&amp;"|"&amp;VLOOKUP(Nutrients_from_current_land_use!$B$7,Value_look_up_tables!$A$101:$C$123,3,FALSE)&amp;"|"&amp;VLOOKUP($B$6,Value_look_up_tables!$A$131:$B$136,2,FALSE),Value_look_up_tables!$F$16:$H$97,2,FALSE),$B21*VLOOKUP($A21&amp;"|"&amp;VLOOKUP(Nutrients_from_current_land_use!$B$8,Value_look_up_tables!$A$140:$B$141,2,FALSE)&amp;"|"&amp;VLOOKUP(Nutrients_from_current_land_use!$B$7,Value_look_up_tables!$A$101:$C$123,3,FALSE)&amp;"|"&amp;"DrainedArGr",Value_look_up_tables!$F$16:$H$97,2,FALSE))),IFERROR($B21*VLOOKUP($A21&amp;"|"&amp;VLOOKUP(Nutrients_from_current_land_use!$B$7,Value_look_up_tables!$A$101:$C$123,3,FALSE),Value_look_up_tables!$I$16:$K$89,2,FALSE),$B21*VLOOKUP($A21,Value_look_up_tables!$B$16:$M$89,11,FALSE)))))</f>
        <v/>
      </c>
      <c r="D21" s="87" t="str">
        <f>IF(OR(ISBLANK($A21),ISBLANK($B21),ISBLANK($B$6),ISBLANK($B$7)),"",IFERROR($B21*VLOOKUP((IF(OR($A21="Residential urban land",$A21="Commercial/industrial urban land",$A21="Open urban land",$A21="Greenspace",$A21="Community food growing",$A21="Woodland",$A21="Shrub", $A21="Water"), "|||"&amp;$A21, (VLOOKUP(Nutrients_from_current_land_use!$B$5,Value_look_up_tables!$A$127:$B$127,2,FALSE)&amp;"|"&amp;$A21&amp;"|"&amp;VLOOKUP(Nutrients_from_current_land_use!$B$8,Value_look_up_tables!$A$140:$B$141,2,FALSE)&amp;"|"&amp;VLOOKUP(Nutrients_from_current_land_use!$B$7,Value_look_up_tables!$A$101:$C$123,3,FALSE)&amp;"|"&amp;VLOOKUP($B$6,Value_look_up_tables!$A$131:$B$136,2,FALSE)))),Value_look_up_tables!$F$16:$H$97,3,FALSE),
IFERROR(IFERROR($B21*VLOOKUP($A21&amp;"|"&amp;VLOOKUP(Nutrients_from_current_land_use!$B$8,Value_look_up_tables!$A$140:$B$141,2,FALSE)&amp;"|"&amp;VLOOKUP(Nutrients_from_current_land_use!$B$7,Value_look_up_tables!$A$101:$C$123,3,FALSE)&amp;"|"&amp;VLOOKUP($B$6,Value_look_up_tables!$A$131:$B$136,2,FALSE),Value_look_up_tables!$F$16:$H$97,3,FALSE),IFERROR($B21*VLOOKUP($A21&amp;"|"&amp;"TRUE"&amp;"|"&amp;VLOOKUP(Nutrients_from_current_land_use!$B$7,Value_look_up_tables!$A$101:$C$123,3,FALSE)&amp;"|"&amp;VLOOKUP($B$6,Value_look_up_tables!$A$131:$B$136,2,FALSE),Value_look_up_tables!$F$16:$H$97,3,FALSE),$B21*VLOOKUP($A21&amp;"|"&amp;VLOOKUP(Nutrients_from_current_land_use!$B$8,Value_look_up_tables!$A$140:$B$141,2,FALSE)&amp;"|"&amp;VLOOKUP(Nutrients_from_current_land_use!$B$7,Value_look_up_tables!$A$101:$C$123,3,FALSE)&amp;"|"&amp;"DrainedArGr",Value_look_up_tables!$F$16:$H$97,3,FALSE))),IFERROR($B21*VLOOKUP($A21&amp;"|"&amp;VLOOKUP(Nutrients_from_current_land_use!$B$7,Value_look_up_tables!$A$101:$C$123,3,FALSE),Value_look_up_tables!$I$16:$K$89,3,FALSE),$B21*VLOOKUP($A21,Value_look_up_tables!$B$16:$M$89,12,FALSE)))))</f>
        <v/>
      </c>
      <c r="E21" s="6" t="str">
        <f>IF(OR(ISBLANK($A21),ISBLANK($B21),ISBLANK($B$6),ISBLANK($B$5),ISBLANK($B$7),$A21="Residential urban land",$A21="Commercial/industrial urban land",$A21="Open urban land",$A21="Greenspace",$A21="Community food growing",$A21="Woodland",$A21="Shrub",$A21="Water"),"",IF(ISNUMBER(IFERROR($B21*VLOOKUP((IF(OR($A21="Residential urban land",$A21="Commercial/industrial urban land",$A21="Open urban land",$A21="Greenspace",$A21="Community food growing",$A21="Woodland",$A21="Shrub",$A21="Water"),"|||"&amp;$A21,(VLOOKUP(Nutrients_from_current_land_use!$B$5,Value_look_up_tables!$A$127:$B$127,2,FALSE)&amp;"|"&amp;$A21&amp;"|"&amp;VLOOKUP(Nutrients_from_current_land_use!$B$8,Value_look_up_tables!$A$140:$B$141,2,FALSE)&amp;"|"&amp;VLOOKUP(Nutrients_from_current_land_use!$B$7, Value_look_up_tables!$A$101:$C$123,3,FALSE)&amp;"|"&amp;VLOOKUP($B$6,Value_look_up_tables!$A$131:$B$136,2,FALSE)))), Value_look_up_tables!$F$16:$H$89,3,FALSE),IFERROR($B21*VLOOKUP($A21&amp;"|"&amp;VLOOKUP(Nutrients_from_current_land_use!$B$8,Value_look_up_tables!$A$140:$B$141,2,FALSE)&amp;"|"&amp;VLOOKUP(Nutrients_from_current_land_use!$B$7, Value_look_up_tables!$A$101:$C$123,3,FALSE)&amp;"|"&amp;VLOOKUP($B$6,Value_look_up_tables!$A$131:$B$136,2,FALSE),Value_look_up_tables!$F$16:$H$89,3,FALSE),"In the absence of real world data, this figure has been generated using the most relevant average nutrient export coefficient."))),"","In the absence of real world data, this figure has been generated using the most relevant average nutrient export coefficient."))</f>
        <v/>
      </c>
    </row>
    <row r="22" spans="1:7" ht="37.5" customHeight="1" x14ac:dyDescent="0.25">
      <c r="A22" s="5"/>
      <c r="B22" s="17"/>
      <c r="C22" s="87" t="str">
        <f>IF(OR(ISBLANK($A22),ISBLANK($B22),ISBLANK($B$6),ISBLANK($B$7)),"",IFERROR($B22*VLOOKUP((IF(OR($A22="Residential urban land",$A22="Commercial/industrial urban land",$A22="Open urban land",$A22="Greenspace",$A22="Community food growing",$A22="Woodland",$A22="Shrub", $A22="Water"), "|||"&amp;$A22, (VLOOKUP(Nutrients_from_current_land_use!$B$5,Value_look_up_tables!$A$127:$B$127,2,FALSE)&amp;"|"&amp;$A22&amp;"|"&amp;VLOOKUP(Nutrients_from_current_land_use!$B$8,Value_look_up_tables!$A$140:$B$141,2,FALSE)&amp;"|"&amp;VLOOKUP(Nutrients_from_current_land_use!$B$7,Value_look_up_tables!$A$101:$C$123,3,FALSE)&amp;"|"&amp;VLOOKUP($B$6,Value_look_up_tables!$A$131:$B$136,2,FALSE)))),Value_look_up_tables!$F$16:$H$97,2,FALSE),
IFERROR(IFERROR($B22*VLOOKUP($A22&amp;"|"&amp;VLOOKUP(Nutrients_from_current_land_use!$B$8,Value_look_up_tables!$A$140:$B$141,2,FALSE)&amp;"|"&amp;VLOOKUP(Nutrients_from_current_land_use!$B$7,Value_look_up_tables!$A$101:$C$123,3,FALSE)&amp;"|"&amp;VLOOKUP($B$6,Value_look_up_tables!$A$131:$B$136,2,FALSE),Value_look_up_tables!$F$16:$H$97,2,FALSE),IFERROR($B22*VLOOKUP($A22&amp;"|"&amp;"TRUE"&amp;"|"&amp;VLOOKUP(Nutrients_from_current_land_use!$B$7,Value_look_up_tables!$A$101:$C$123,3,FALSE)&amp;"|"&amp;VLOOKUP($B$6,Value_look_up_tables!$A$131:$B$136,2,FALSE),Value_look_up_tables!$F$16:$H$97,2,FALSE),$B22*VLOOKUP($A22&amp;"|"&amp;VLOOKUP(Nutrients_from_current_land_use!$B$8,Value_look_up_tables!$A$140:$B$141,2,FALSE)&amp;"|"&amp;VLOOKUP(Nutrients_from_current_land_use!$B$7,Value_look_up_tables!$A$101:$C$123,3,FALSE)&amp;"|"&amp;"DrainedArGr",Value_look_up_tables!$F$16:$H$97,2,FALSE))),IFERROR($B22*VLOOKUP($A22&amp;"|"&amp;VLOOKUP(Nutrients_from_current_land_use!$B$7,Value_look_up_tables!$A$101:$C$123,3,FALSE),Value_look_up_tables!$I$16:$K$89,2,FALSE),$B22*VLOOKUP($A22,Value_look_up_tables!$B$16:$M$89,11,FALSE)))))</f>
        <v/>
      </c>
      <c r="D22" s="87" t="str">
        <f>IF(OR(ISBLANK($A22),ISBLANK($B22),ISBLANK($B$6),ISBLANK($B$7)),"",IFERROR($B22*VLOOKUP((IF(OR($A22="Residential urban land",$A22="Commercial/industrial urban land",$A22="Open urban land",$A22="Greenspace",$A22="Community food growing",$A22="Woodland",$A22="Shrub", $A22="Water"), "|||"&amp;$A22, (VLOOKUP(Nutrients_from_current_land_use!$B$5,Value_look_up_tables!$A$127:$B$127,2,FALSE)&amp;"|"&amp;$A22&amp;"|"&amp;VLOOKUP(Nutrients_from_current_land_use!$B$8,Value_look_up_tables!$A$140:$B$141,2,FALSE)&amp;"|"&amp;VLOOKUP(Nutrients_from_current_land_use!$B$7,Value_look_up_tables!$A$101:$C$123,3,FALSE)&amp;"|"&amp;VLOOKUP($B$6,Value_look_up_tables!$A$131:$B$136,2,FALSE)))),Value_look_up_tables!$F$16:$H$97,3,FALSE),
IFERROR(IFERROR($B22*VLOOKUP($A22&amp;"|"&amp;VLOOKUP(Nutrients_from_current_land_use!$B$8,Value_look_up_tables!$A$140:$B$141,2,FALSE)&amp;"|"&amp;VLOOKUP(Nutrients_from_current_land_use!$B$7,Value_look_up_tables!$A$101:$C$123,3,FALSE)&amp;"|"&amp;VLOOKUP($B$6,Value_look_up_tables!$A$131:$B$136,2,FALSE),Value_look_up_tables!$F$16:$H$97,3,FALSE),IFERROR($B22*VLOOKUP($A22&amp;"|"&amp;"TRUE"&amp;"|"&amp;VLOOKUP(Nutrients_from_current_land_use!$B$7,Value_look_up_tables!$A$101:$C$123,3,FALSE)&amp;"|"&amp;VLOOKUP($B$6,Value_look_up_tables!$A$131:$B$136,2,FALSE),Value_look_up_tables!$F$16:$H$97,3,FALSE),$B22*VLOOKUP($A22&amp;"|"&amp;VLOOKUP(Nutrients_from_current_land_use!$B$8,Value_look_up_tables!$A$140:$B$141,2,FALSE)&amp;"|"&amp;VLOOKUP(Nutrients_from_current_land_use!$B$7,Value_look_up_tables!$A$101:$C$123,3,FALSE)&amp;"|"&amp;"DrainedArGr",Value_look_up_tables!$F$16:$H$97,3,FALSE))),IFERROR($B22*VLOOKUP($A22&amp;"|"&amp;VLOOKUP(Nutrients_from_current_land_use!$B$7,Value_look_up_tables!$A$101:$C$123,3,FALSE),Value_look_up_tables!$I$16:$K$89,3,FALSE),$B22*VLOOKUP($A22,Value_look_up_tables!$B$16:$M$89,12,FALSE)))))</f>
        <v/>
      </c>
      <c r="E22" s="6" t="str">
        <f>IF(OR(ISBLANK($A22),ISBLANK($B22),ISBLANK($B$6),ISBLANK($B$5),ISBLANK($B$7),$A22="Residential urban land",$A22="Commercial/industrial urban land",$A22="Open urban land",$A22="Greenspace",$A22="Community food growing",$A22="Woodland",$A22="Shrub",$A22="Water"),"",IF(ISNUMBER(IFERROR($B22*VLOOKUP((IF(OR($A22="Residential urban land",$A22="Commercial/industrial urban land",$A22="Open urban land",$A22="Greenspace",$A22="Community food growing",$A22="Woodland",$A22="Shrub",$A22="Water"),"|||"&amp;$A22,(VLOOKUP(Nutrients_from_current_land_use!$B$5,Value_look_up_tables!$A$127:$B$127,2,FALSE)&amp;"|"&amp;$A22&amp;"|"&amp;VLOOKUP(Nutrients_from_current_land_use!$B$8,Value_look_up_tables!$A$140:$B$141,2,FALSE)&amp;"|"&amp;VLOOKUP(Nutrients_from_current_land_use!$B$7, Value_look_up_tables!$A$101:$C$123,3,FALSE)&amp;"|"&amp;VLOOKUP($B$6,Value_look_up_tables!$A$131:$B$136,2,FALSE)))), Value_look_up_tables!$F$16:$H$89,3,FALSE),IFERROR($B22*VLOOKUP($A22&amp;"|"&amp;VLOOKUP(Nutrients_from_current_land_use!$B$8,Value_look_up_tables!$A$140:$B$141,2,FALSE)&amp;"|"&amp;VLOOKUP(Nutrients_from_current_land_use!$B$7, Value_look_up_tables!$A$101:$C$123,3,FALSE)&amp;"|"&amp;VLOOKUP($B$6,Value_look_up_tables!$A$131:$B$136,2,FALSE),Value_look_up_tables!$F$16:$H$89,3,FALSE),"In the absence of real world data, this figure has been generated using the most relevant average nutrient export coefficient."))),"","In the absence of real world data, this figure has been generated using the most relevant average nutrient export coefficient."))</f>
        <v/>
      </c>
      <c r="G22" s="100"/>
    </row>
    <row r="23" spans="1:7" ht="37.5" customHeight="1" x14ac:dyDescent="0.25">
      <c r="A23" s="5"/>
      <c r="B23" s="17"/>
      <c r="C23" s="87" t="str">
        <f>IF(OR(ISBLANK($A23),ISBLANK($B23),ISBLANK($B$6),ISBLANK($B$7)),"",IFERROR($B23*VLOOKUP((IF(OR($A23="Residential urban land",$A23="Commercial/industrial urban land",$A23="Open urban land",$A23="Greenspace",$A23="Community food growing",$A23="Woodland",$A23="Shrub", $A23="Water"), "|||"&amp;$A23, (VLOOKUP(Nutrients_from_current_land_use!$B$5,Value_look_up_tables!$A$127:$B$127,2,FALSE)&amp;"|"&amp;$A23&amp;"|"&amp;VLOOKUP(Nutrients_from_current_land_use!$B$8,Value_look_up_tables!$A$140:$B$141,2,FALSE)&amp;"|"&amp;VLOOKUP(Nutrients_from_current_land_use!$B$7,Value_look_up_tables!$A$101:$C$123,3,FALSE)&amp;"|"&amp;VLOOKUP($B$6,Value_look_up_tables!$A$131:$B$136,2,FALSE)))),Value_look_up_tables!$F$16:$H$97,2,FALSE),
IFERROR(IFERROR($B23*VLOOKUP($A23&amp;"|"&amp;VLOOKUP(Nutrients_from_current_land_use!$B$8,Value_look_up_tables!$A$140:$B$141,2,FALSE)&amp;"|"&amp;VLOOKUP(Nutrients_from_current_land_use!$B$7,Value_look_up_tables!$A$101:$C$123,3,FALSE)&amp;"|"&amp;VLOOKUP($B$6,Value_look_up_tables!$A$131:$B$136,2,FALSE),Value_look_up_tables!$F$16:$H$97,2,FALSE),IFERROR($B23*VLOOKUP($A23&amp;"|"&amp;"TRUE"&amp;"|"&amp;VLOOKUP(Nutrients_from_current_land_use!$B$7,Value_look_up_tables!$A$101:$C$123,3,FALSE)&amp;"|"&amp;VLOOKUP($B$6,Value_look_up_tables!$A$131:$B$136,2,FALSE),Value_look_up_tables!$F$16:$H$97,2,FALSE),$B23*VLOOKUP($A23&amp;"|"&amp;VLOOKUP(Nutrients_from_current_land_use!$B$8,Value_look_up_tables!$A$140:$B$141,2,FALSE)&amp;"|"&amp;VLOOKUP(Nutrients_from_current_land_use!$B$7,Value_look_up_tables!$A$101:$C$123,3,FALSE)&amp;"|"&amp;"DrainedArGr",Value_look_up_tables!$F$16:$H$97,2,FALSE))),IFERROR($B23*VLOOKUP($A23&amp;"|"&amp;VLOOKUP(Nutrients_from_current_land_use!$B$7,Value_look_up_tables!$A$101:$C$123,3,FALSE),Value_look_up_tables!$I$16:$K$89,2,FALSE),$B23*VLOOKUP($A23,Value_look_up_tables!$B$16:$M$89,11,FALSE)))))</f>
        <v/>
      </c>
      <c r="D23" s="87" t="str">
        <f>IF(OR(ISBLANK($A23),ISBLANK($B23),ISBLANK($B$6),ISBLANK($B$7)),"",IFERROR($B23*VLOOKUP((IF(OR($A23="Residential urban land",$A23="Commercial/industrial urban land",$A23="Open urban land",$A23="Greenspace",$A23="Community food growing",$A23="Woodland",$A23="Shrub", $A23="Water"), "|||"&amp;$A23, (VLOOKUP(Nutrients_from_current_land_use!$B$5,Value_look_up_tables!$A$127:$B$127,2,FALSE)&amp;"|"&amp;$A23&amp;"|"&amp;VLOOKUP(Nutrients_from_current_land_use!$B$8,Value_look_up_tables!$A$140:$B$141,2,FALSE)&amp;"|"&amp;VLOOKUP(Nutrients_from_current_land_use!$B$7,Value_look_up_tables!$A$101:$C$123,3,FALSE)&amp;"|"&amp;VLOOKUP($B$6,Value_look_up_tables!$A$131:$B$136,2,FALSE)))),Value_look_up_tables!$F$16:$H$97,3,FALSE),
IFERROR(IFERROR($B23*VLOOKUP($A23&amp;"|"&amp;VLOOKUP(Nutrients_from_current_land_use!$B$8,Value_look_up_tables!$A$140:$B$141,2,FALSE)&amp;"|"&amp;VLOOKUP(Nutrients_from_current_land_use!$B$7,Value_look_up_tables!$A$101:$C$123,3,FALSE)&amp;"|"&amp;VLOOKUP($B$6,Value_look_up_tables!$A$131:$B$136,2,FALSE),Value_look_up_tables!$F$16:$H$97,3,FALSE),IFERROR($B23*VLOOKUP($A23&amp;"|"&amp;"TRUE"&amp;"|"&amp;VLOOKUP(Nutrients_from_current_land_use!$B$7,Value_look_up_tables!$A$101:$C$123,3,FALSE)&amp;"|"&amp;VLOOKUP($B$6,Value_look_up_tables!$A$131:$B$136,2,FALSE),Value_look_up_tables!$F$16:$H$97,3,FALSE),$B23*VLOOKUP($A23&amp;"|"&amp;VLOOKUP(Nutrients_from_current_land_use!$B$8,Value_look_up_tables!$A$140:$B$141,2,FALSE)&amp;"|"&amp;VLOOKUP(Nutrients_from_current_land_use!$B$7,Value_look_up_tables!$A$101:$C$123,3,FALSE)&amp;"|"&amp;"DrainedArGr",Value_look_up_tables!$F$16:$H$97,3,FALSE))),IFERROR($B23*VLOOKUP($A23&amp;"|"&amp;VLOOKUP(Nutrients_from_current_land_use!$B$7,Value_look_up_tables!$A$101:$C$123,3,FALSE),Value_look_up_tables!$I$16:$K$89,3,FALSE),$B23*VLOOKUP($A23,Value_look_up_tables!$B$16:$M$89,12,FALSE)))))</f>
        <v/>
      </c>
      <c r="E23" s="6" t="str">
        <f>IF(OR(ISBLANK($A23),ISBLANK($B23),ISBLANK($B$6),ISBLANK($B$5),ISBLANK($B$7),$A23="Residential urban land",$A23="Commercial/industrial urban land",$A23="Open urban land",$A23="Greenspace",$A23="Community food growing",$A23="Woodland",$A23="Shrub",$A23="Water"),"",IF(ISNUMBER(IFERROR($B23*VLOOKUP((IF(OR($A23="Residential urban land",$A23="Commercial/industrial urban land",$A23="Open urban land",$A23="Greenspace",$A23="Community food growing",$A23="Woodland",$A23="Shrub",$A23="Water"),"|||"&amp;$A23,(VLOOKUP(Nutrients_from_current_land_use!$B$5,Value_look_up_tables!$A$127:$B$127,2,FALSE)&amp;"|"&amp;$A23&amp;"|"&amp;VLOOKUP(Nutrients_from_current_land_use!$B$8,Value_look_up_tables!$A$140:$B$141,2,FALSE)&amp;"|"&amp;VLOOKUP(Nutrients_from_current_land_use!$B$7, Value_look_up_tables!$A$101:$C$123,3,FALSE)&amp;"|"&amp;VLOOKUP($B$6,Value_look_up_tables!$A$131:$B$136,2,FALSE)))), Value_look_up_tables!$F$16:$H$89,3,FALSE),IFERROR($B23*VLOOKUP($A23&amp;"|"&amp;VLOOKUP(Nutrients_from_current_land_use!$B$8,Value_look_up_tables!$A$140:$B$141,2,FALSE)&amp;"|"&amp;VLOOKUP(Nutrients_from_current_land_use!$B$7, Value_look_up_tables!$A$101:$C$123,3,FALSE)&amp;"|"&amp;VLOOKUP($B$6,Value_look_up_tables!$A$131:$B$136,2,FALSE),Value_look_up_tables!$F$16:$H$89,3,FALSE),"In the absence of real world data, this figure has been generated using the most relevant average nutrient export coefficient."))),"","In the absence of real world data, this figure has been generated using the most relevant average nutrient export coefficient."))</f>
        <v/>
      </c>
    </row>
    <row r="24" spans="1:7" ht="37.5" customHeight="1" x14ac:dyDescent="0.25">
      <c r="A24" s="5"/>
      <c r="B24" s="17"/>
      <c r="C24" s="87" t="str">
        <f>IF(OR(ISBLANK($A24),ISBLANK($B24),ISBLANK($B$6),ISBLANK($B$7)),"",IFERROR($B24*VLOOKUP((IF(OR($A24="Residential urban land",$A24="Commercial/industrial urban land",$A24="Open urban land",$A24="Greenspace",$A24="Community food growing",$A24="Woodland",$A24="Shrub", $A24="Water"), "|||"&amp;$A24, (VLOOKUP(Nutrients_from_current_land_use!$B$5,Value_look_up_tables!$A$127:$B$127,2,FALSE)&amp;"|"&amp;$A24&amp;"|"&amp;VLOOKUP(Nutrients_from_current_land_use!$B$8,Value_look_up_tables!$A$140:$B$141,2,FALSE)&amp;"|"&amp;VLOOKUP(Nutrients_from_current_land_use!$B$7,Value_look_up_tables!$A$101:$C$123,3,FALSE)&amp;"|"&amp;VLOOKUP($B$6,Value_look_up_tables!$A$131:$B$136,2,FALSE)))),Value_look_up_tables!$F$16:$H$97,2,FALSE),
IFERROR(IFERROR($B24*VLOOKUP($A24&amp;"|"&amp;VLOOKUP(Nutrients_from_current_land_use!$B$8,Value_look_up_tables!$A$140:$B$141,2,FALSE)&amp;"|"&amp;VLOOKUP(Nutrients_from_current_land_use!$B$7,Value_look_up_tables!$A$101:$C$123,3,FALSE)&amp;"|"&amp;VLOOKUP($B$6,Value_look_up_tables!$A$131:$B$136,2,FALSE),Value_look_up_tables!$F$16:$H$97,2,FALSE),IFERROR($B24*VLOOKUP($A24&amp;"|"&amp;"TRUE"&amp;"|"&amp;VLOOKUP(Nutrients_from_current_land_use!$B$7,Value_look_up_tables!$A$101:$C$123,3,FALSE)&amp;"|"&amp;VLOOKUP($B$6,Value_look_up_tables!$A$131:$B$136,2,FALSE),Value_look_up_tables!$F$16:$H$97,2,FALSE),$B24*VLOOKUP($A24&amp;"|"&amp;VLOOKUP(Nutrients_from_current_land_use!$B$8,Value_look_up_tables!$A$140:$B$141,2,FALSE)&amp;"|"&amp;VLOOKUP(Nutrients_from_current_land_use!$B$7,Value_look_up_tables!$A$101:$C$123,3,FALSE)&amp;"|"&amp;"DrainedArGr",Value_look_up_tables!$F$16:$H$97,2,FALSE))),IFERROR($B24*VLOOKUP($A24&amp;"|"&amp;VLOOKUP(Nutrients_from_current_land_use!$B$7,Value_look_up_tables!$A$101:$C$123,3,FALSE),Value_look_up_tables!$I$16:$K$89,2,FALSE),$B24*VLOOKUP($A24,Value_look_up_tables!$B$16:$M$89,11,FALSE)))))</f>
        <v/>
      </c>
      <c r="D24" s="87" t="str">
        <f>IF(OR(ISBLANK($A24),ISBLANK($B24),ISBLANK($B$6),ISBLANK($B$7)),"",IFERROR($B24*VLOOKUP((IF(OR($A24="Residential urban land",$A24="Commercial/industrial urban land",$A24="Open urban land",$A24="Greenspace",$A24="Community food growing",$A24="Woodland",$A24="Shrub", $A24="Water"), "|||"&amp;$A24, (VLOOKUP(Nutrients_from_current_land_use!$B$5,Value_look_up_tables!$A$127:$B$127,2,FALSE)&amp;"|"&amp;$A24&amp;"|"&amp;VLOOKUP(Nutrients_from_current_land_use!$B$8,Value_look_up_tables!$A$140:$B$141,2,FALSE)&amp;"|"&amp;VLOOKUP(Nutrients_from_current_land_use!$B$7,Value_look_up_tables!$A$101:$C$123,3,FALSE)&amp;"|"&amp;VLOOKUP($B$6,Value_look_up_tables!$A$131:$B$136,2,FALSE)))),Value_look_up_tables!$F$16:$H$97,3,FALSE),
IFERROR(IFERROR($B24*VLOOKUP($A24&amp;"|"&amp;VLOOKUP(Nutrients_from_current_land_use!$B$8,Value_look_up_tables!$A$140:$B$141,2,FALSE)&amp;"|"&amp;VLOOKUP(Nutrients_from_current_land_use!$B$7,Value_look_up_tables!$A$101:$C$123,3,FALSE)&amp;"|"&amp;VLOOKUP($B$6,Value_look_up_tables!$A$131:$B$136,2,FALSE),Value_look_up_tables!$F$16:$H$97,3,FALSE),IFERROR($B24*VLOOKUP($A24&amp;"|"&amp;"TRUE"&amp;"|"&amp;VLOOKUP(Nutrients_from_current_land_use!$B$7,Value_look_up_tables!$A$101:$C$123,3,FALSE)&amp;"|"&amp;VLOOKUP($B$6,Value_look_up_tables!$A$131:$B$136,2,FALSE),Value_look_up_tables!$F$16:$H$97,3,FALSE),$B24*VLOOKUP($A24&amp;"|"&amp;VLOOKUP(Nutrients_from_current_land_use!$B$8,Value_look_up_tables!$A$140:$B$141,2,FALSE)&amp;"|"&amp;VLOOKUP(Nutrients_from_current_land_use!$B$7,Value_look_up_tables!$A$101:$C$123,3,FALSE)&amp;"|"&amp;"DrainedArGr",Value_look_up_tables!$F$16:$H$97,3,FALSE))),IFERROR($B24*VLOOKUP($A24&amp;"|"&amp;VLOOKUP(Nutrients_from_current_land_use!$B$7,Value_look_up_tables!$A$101:$C$123,3,FALSE),Value_look_up_tables!$I$16:$K$89,3,FALSE),$B24*VLOOKUP($A24,Value_look_up_tables!$B$16:$M$89,12,FALSE)))))</f>
        <v/>
      </c>
      <c r="E24" s="6" t="str">
        <f>IF(OR(ISBLANK($A24),ISBLANK($B24),ISBLANK($B$6),ISBLANK($B$5),ISBLANK($B$7),$A24="Residential urban land",$A24="Commercial/industrial urban land",$A24="Open urban land",$A24="Greenspace",$A24="Community food growing",$A24="Woodland",$A24="Shrub",$A24="Water"),"",IF(ISNUMBER(IFERROR($B24*VLOOKUP((IF(OR($A24="Residential urban land",$A24="Commercial/industrial urban land",$A24="Open urban land",$A24="Greenspace",$A24="Community food growing",$A24="Woodland",$A24="Shrub",$A24="Water"),"|||"&amp;$A24,(VLOOKUP(Nutrients_from_current_land_use!$B$5,Value_look_up_tables!$A$127:$B$127,2,FALSE)&amp;"|"&amp;$A24&amp;"|"&amp;VLOOKUP(Nutrients_from_current_land_use!$B$8,Value_look_up_tables!$A$140:$B$141,2,FALSE)&amp;"|"&amp;VLOOKUP(Nutrients_from_current_land_use!$B$7, Value_look_up_tables!$A$101:$C$123,3,FALSE)&amp;"|"&amp;VLOOKUP($B$6,Value_look_up_tables!$A$131:$B$136,2,FALSE)))), Value_look_up_tables!$F$16:$H$89,3,FALSE),IFERROR($B24*VLOOKUP($A24&amp;"|"&amp;VLOOKUP(Nutrients_from_current_land_use!$B$8,Value_look_up_tables!$A$140:$B$141,2,FALSE)&amp;"|"&amp;VLOOKUP(Nutrients_from_current_land_use!$B$7, Value_look_up_tables!$A$101:$C$123,3,FALSE)&amp;"|"&amp;VLOOKUP($B$6,Value_look_up_tables!$A$131:$B$136,2,FALSE),Value_look_up_tables!$F$16:$H$89,3,FALSE),"In the absence of real world data, this figure has been generated using the most relevant average nutrient export coefficient."))),"","In the absence of real world data, this figure has been generated using the most relevant average nutrient export coefficient."))</f>
        <v/>
      </c>
    </row>
    <row r="25" spans="1:7" ht="37.5" customHeight="1" x14ac:dyDescent="0.25">
      <c r="A25" s="5"/>
      <c r="B25" s="17"/>
      <c r="C25" s="87" t="str">
        <f>IF(OR(ISBLANK($A25),ISBLANK($B25),ISBLANK($B$6),ISBLANK($B$7)),"",IFERROR($B25*VLOOKUP((IF(OR($A25="Residential urban land",$A25="Commercial/industrial urban land",$A25="Open urban land",$A25="Greenspace",$A25="Community food growing",$A25="Woodland",$A25="Shrub", $A25="Water"), "|||"&amp;$A25, (VLOOKUP(Nutrients_from_current_land_use!$B$5,Value_look_up_tables!$A$127:$B$127,2,FALSE)&amp;"|"&amp;$A25&amp;"|"&amp;VLOOKUP(Nutrients_from_current_land_use!$B$8,Value_look_up_tables!$A$140:$B$141,2,FALSE)&amp;"|"&amp;VLOOKUP(Nutrients_from_current_land_use!$B$7,Value_look_up_tables!$A$101:$C$123,3,FALSE)&amp;"|"&amp;VLOOKUP($B$6,Value_look_up_tables!$A$131:$B$136,2,FALSE)))),Value_look_up_tables!$F$16:$H$97,2,FALSE),
IFERROR(IFERROR($B25*VLOOKUP($A25&amp;"|"&amp;VLOOKUP(Nutrients_from_current_land_use!$B$8,Value_look_up_tables!$A$140:$B$141,2,FALSE)&amp;"|"&amp;VLOOKUP(Nutrients_from_current_land_use!$B$7,Value_look_up_tables!$A$101:$C$123,3,FALSE)&amp;"|"&amp;VLOOKUP($B$6,Value_look_up_tables!$A$131:$B$136,2,FALSE),Value_look_up_tables!$F$16:$H$97,2,FALSE),IFERROR($B25*VLOOKUP($A25&amp;"|"&amp;"TRUE"&amp;"|"&amp;VLOOKUP(Nutrients_from_current_land_use!$B$7,Value_look_up_tables!$A$101:$C$123,3,FALSE)&amp;"|"&amp;VLOOKUP($B$6,Value_look_up_tables!$A$131:$B$136,2,FALSE),Value_look_up_tables!$F$16:$H$97,2,FALSE),$B25*VLOOKUP($A25&amp;"|"&amp;VLOOKUP(Nutrients_from_current_land_use!$B$8,Value_look_up_tables!$A$140:$B$141,2,FALSE)&amp;"|"&amp;VLOOKUP(Nutrients_from_current_land_use!$B$7,Value_look_up_tables!$A$101:$C$123,3,FALSE)&amp;"|"&amp;"DrainedArGr",Value_look_up_tables!$F$16:$H$97,2,FALSE))),IFERROR($B25*VLOOKUP($A25&amp;"|"&amp;VLOOKUP(Nutrients_from_current_land_use!$B$7,Value_look_up_tables!$A$101:$C$123,3,FALSE),Value_look_up_tables!$I$16:$K$89,2,FALSE),$B25*VLOOKUP($A25,Value_look_up_tables!$B$16:$M$89,11,FALSE)))))</f>
        <v/>
      </c>
      <c r="D25" s="87" t="str">
        <f>IF(OR(ISBLANK($A25),ISBLANK($B25),ISBLANK($B$6),ISBLANK($B$7)),"",IFERROR($B25*VLOOKUP((IF(OR($A25="Residential urban land",$A25="Commercial/industrial urban land",$A25="Open urban land",$A25="Greenspace",$A25="Community food growing",$A25="Woodland",$A25="Shrub", $A25="Water"), "|||"&amp;$A25, (VLOOKUP(Nutrients_from_current_land_use!$B$5,Value_look_up_tables!$A$127:$B$127,2,FALSE)&amp;"|"&amp;$A25&amp;"|"&amp;VLOOKUP(Nutrients_from_current_land_use!$B$8,Value_look_up_tables!$A$140:$B$141,2,FALSE)&amp;"|"&amp;VLOOKUP(Nutrients_from_current_land_use!$B$7,Value_look_up_tables!$A$101:$C$123,3,FALSE)&amp;"|"&amp;VLOOKUP($B$6,Value_look_up_tables!$A$131:$B$136,2,FALSE)))),Value_look_up_tables!$F$16:$H$97,3,FALSE),
IFERROR(IFERROR($B25*VLOOKUP($A25&amp;"|"&amp;VLOOKUP(Nutrients_from_current_land_use!$B$8,Value_look_up_tables!$A$140:$B$141,2,FALSE)&amp;"|"&amp;VLOOKUP(Nutrients_from_current_land_use!$B$7,Value_look_up_tables!$A$101:$C$123,3,FALSE)&amp;"|"&amp;VLOOKUP($B$6,Value_look_up_tables!$A$131:$B$136,2,FALSE),Value_look_up_tables!$F$16:$H$97,3,FALSE),IFERROR($B25*VLOOKUP($A25&amp;"|"&amp;"TRUE"&amp;"|"&amp;VLOOKUP(Nutrients_from_current_land_use!$B$7,Value_look_up_tables!$A$101:$C$123,3,FALSE)&amp;"|"&amp;VLOOKUP($B$6,Value_look_up_tables!$A$131:$B$136,2,FALSE),Value_look_up_tables!$F$16:$H$97,3,FALSE),$B25*VLOOKUP($A25&amp;"|"&amp;VLOOKUP(Nutrients_from_current_land_use!$B$8,Value_look_up_tables!$A$140:$B$141,2,FALSE)&amp;"|"&amp;VLOOKUP(Nutrients_from_current_land_use!$B$7,Value_look_up_tables!$A$101:$C$123,3,FALSE)&amp;"|"&amp;"DrainedArGr",Value_look_up_tables!$F$16:$H$97,3,FALSE))),IFERROR($B25*VLOOKUP($A25&amp;"|"&amp;VLOOKUP(Nutrients_from_current_land_use!$B$7,Value_look_up_tables!$A$101:$C$123,3,FALSE),Value_look_up_tables!$I$16:$K$89,3,FALSE),$B25*VLOOKUP($A25,Value_look_up_tables!$B$16:$M$89,12,FALSE)))))</f>
        <v/>
      </c>
      <c r="E25" s="6" t="str">
        <f>IF(OR(ISBLANK($A25),ISBLANK($B25),ISBLANK($B$6),ISBLANK($B$5),ISBLANK($B$7),$A25="Residential urban land",$A25="Commercial/industrial urban land",$A25="Open urban land",$A25="Greenspace",$A25="Community food growing",$A25="Woodland",$A25="Shrub",$A25="Water"),"",IF(ISNUMBER(IFERROR($B25*VLOOKUP((IF(OR($A25="Residential urban land",$A25="Commercial/industrial urban land",$A25="Open urban land",$A25="Greenspace",$A25="Community food growing",$A25="Woodland",$A25="Shrub",$A25="Water"),"|||"&amp;$A25,(VLOOKUP(Nutrients_from_current_land_use!$B$5,Value_look_up_tables!$A$127:$B$127,2,FALSE)&amp;"|"&amp;$A25&amp;"|"&amp;VLOOKUP(Nutrients_from_current_land_use!$B$8,Value_look_up_tables!$A$140:$B$141,2,FALSE)&amp;"|"&amp;VLOOKUP(Nutrients_from_current_land_use!$B$7, Value_look_up_tables!$A$101:$C$123,3,FALSE)&amp;"|"&amp;VLOOKUP($B$6,Value_look_up_tables!$A$131:$B$136,2,FALSE)))), Value_look_up_tables!$F$16:$H$89,3,FALSE),IFERROR($B25*VLOOKUP($A25&amp;"|"&amp;VLOOKUP(Nutrients_from_current_land_use!$B$8,Value_look_up_tables!$A$140:$B$141,2,FALSE)&amp;"|"&amp;VLOOKUP(Nutrients_from_current_land_use!$B$7, Value_look_up_tables!$A$101:$C$123,3,FALSE)&amp;"|"&amp;VLOOKUP($B$6,Value_look_up_tables!$A$131:$B$136,2,FALSE),Value_look_up_tables!$F$16:$H$89,3,FALSE),"In the absence of real world data, this figure has been generated using the most relevant average nutrient export coefficient."))),"","In the absence of real world data, this figure has been generated using the most relevant average nutrient export coefficient."))</f>
        <v/>
      </c>
    </row>
    <row r="26" spans="1:7" ht="37.5" customHeight="1" x14ac:dyDescent="0.25">
      <c r="A26" s="5"/>
      <c r="B26" s="17"/>
      <c r="C26" s="87" t="str">
        <f>IF(OR(ISBLANK($A26),ISBLANK($B26),ISBLANK($B$6),ISBLANK($B$7)),"",IFERROR($B26*VLOOKUP((IF(OR($A26="Residential urban land",$A26="Commercial/industrial urban land",$A26="Open urban land",$A26="Greenspace",$A26="Community food growing",$A26="Woodland",$A26="Shrub", $A26="Water"), "|||"&amp;$A26, (VLOOKUP(Nutrients_from_current_land_use!$B$5,Value_look_up_tables!$A$127:$B$127,2,FALSE)&amp;"|"&amp;$A26&amp;"|"&amp;VLOOKUP(Nutrients_from_current_land_use!$B$8,Value_look_up_tables!$A$140:$B$141,2,FALSE)&amp;"|"&amp;VLOOKUP(Nutrients_from_current_land_use!$B$7,Value_look_up_tables!$A$101:$C$123,3,FALSE)&amp;"|"&amp;VLOOKUP($B$6,Value_look_up_tables!$A$131:$B$136,2,FALSE)))),Value_look_up_tables!$F$16:$H$97,2,FALSE),
IFERROR(IFERROR($B26*VLOOKUP($A26&amp;"|"&amp;VLOOKUP(Nutrients_from_current_land_use!$B$8,Value_look_up_tables!$A$140:$B$141,2,FALSE)&amp;"|"&amp;VLOOKUP(Nutrients_from_current_land_use!$B$7,Value_look_up_tables!$A$101:$C$123,3,FALSE)&amp;"|"&amp;VLOOKUP($B$6,Value_look_up_tables!$A$131:$B$136,2,FALSE),Value_look_up_tables!$F$16:$H$97,2,FALSE),IFERROR($B26*VLOOKUP($A26&amp;"|"&amp;"TRUE"&amp;"|"&amp;VLOOKUP(Nutrients_from_current_land_use!$B$7,Value_look_up_tables!$A$101:$C$123,3,FALSE)&amp;"|"&amp;VLOOKUP($B$6,Value_look_up_tables!$A$131:$B$136,2,FALSE),Value_look_up_tables!$F$16:$H$97,2,FALSE),$B26*VLOOKUP($A26&amp;"|"&amp;VLOOKUP(Nutrients_from_current_land_use!$B$8,Value_look_up_tables!$A$140:$B$141,2,FALSE)&amp;"|"&amp;VLOOKUP(Nutrients_from_current_land_use!$B$7,Value_look_up_tables!$A$101:$C$123,3,FALSE)&amp;"|"&amp;"DrainedArGr",Value_look_up_tables!$F$16:$H$97,2,FALSE))),IFERROR($B26*VLOOKUP($A26&amp;"|"&amp;VLOOKUP(Nutrients_from_current_land_use!$B$7,Value_look_up_tables!$A$101:$C$123,3,FALSE),Value_look_up_tables!$I$16:$K$89,2,FALSE),$B26*VLOOKUP($A26,Value_look_up_tables!$B$16:$M$89,11,FALSE)))))</f>
        <v/>
      </c>
      <c r="D26" s="87" t="str">
        <f>IF(OR(ISBLANK($A26),ISBLANK($B26),ISBLANK($B$6),ISBLANK($B$7)),"",IFERROR($B26*VLOOKUP((IF(OR($A26="Residential urban land",$A26="Commercial/industrial urban land",$A26="Open urban land",$A26="Greenspace",$A26="Community food growing",$A26="Woodland",$A26="Shrub", $A26="Water"), "|||"&amp;$A26, (VLOOKUP(Nutrients_from_current_land_use!$B$5,Value_look_up_tables!$A$127:$B$127,2,FALSE)&amp;"|"&amp;$A26&amp;"|"&amp;VLOOKUP(Nutrients_from_current_land_use!$B$8,Value_look_up_tables!$A$140:$B$141,2,FALSE)&amp;"|"&amp;VLOOKUP(Nutrients_from_current_land_use!$B$7,Value_look_up_tables!$A$101:$C$123,3,FALSE)&amp;"|"&amp;VLOOKUP($B$6,Value_look_up_tables!$A$131:$B$136,2,FALSE)))),Value_look_up_tables!$F$16:$H$97,3,FALSE),
IFERROR(IFERROR($B26*VLOOKUP($A26&amp;"|"&amp;VLOOKUP(Nutrients_from_current_land_use!$B$8,Value_look_up_tables!$A$140:$B$141,2,FALSE)&amp;"|"&amp;VLOOKUP(Nutrients_from_current_land_use!$B$7,Value_look_up_tables!$A$101:$C$123,3,FALSE)&amp;"|"&amp;VLOOKUP($B$6,Value_look_up_tables!$A$131:$B$136,2,FALSE),Value_look_up_tables!$F$16:$H$97,3,FALSE),IFERROR($B26*VLOOKUP($A26&amp;"|"&amp;"TRUE"&amp;"|"&amp;VLOOKUP(Nutrients_from_current_land_use!$B$7,Value_look_up_tables!$A$101:$C$123,3,FALSE)&amp;"|"&amp;VLOOKUP($B$6,Value_look_up_tables!$A$131:$B$136,2,FALSE),Value_look_up_tables!$F$16:$H$97,3,FALSE),$B26*VLOOKUP($A26&amp;"|"&amp;VLOOKUP(Nutrients_from_current_land_use!$B$8,Value_look_up_tables!$A$140:$B$141,2,FALSE)&amp;"|"&amp;VLOOKUP(Nutrients_from_current_land_use!$B$7,Value_look_up_tables!$A$101:$C$123,3,FALSE)&amp;"|"&amp;"DrainedArGr",Value_look_up_tables!$F$16:$H$97,3,FALSE))),IFERROR($B26*VLOOKUP($A26&amp;"|"&amp;VLOOKUP(Nutrients_from_current_land_use!$B$7,Value_look_up_tables!$A$101:$C$123,3,FALSE),Value_look_up_tables!$I$16:$K$89,3,FALSE),$B26*VLOOKUP($A26,Value_look_up_tables!$B$16:$M$89,12,FALSE)))))</f>
        <v/>
      </c>
      <c r="E26" s="6" t="str">
        <f>IF(OR(ISBLANK($A26),ISBLANK($B26),ISBLANK($B$6),ISBLANK($B$5),ISBLANK($B$7),$A26="Residential urban land",$A26="Commercial/industrial urban land",$A26="Open urban land",$A26="Greenspace",$A26="Community food growing",$A26="Woodland",$A26="Shrub",$A26="Water"),"",IF(ISNUMBER(IFERROR($B26*VLOOKUP((IF(OR($A26="Residential urban land",$A26="Commercial/industrial urban land",$A26="Open urban land",$A26="Greenspace",$A26="Community food growing",$A26="Woodland",$A26="Shrub",$A26="Water"),"|||"&amp;$A26,(VLOOKUP(Nutrients_from_current_land_use!$B$5,Value_look_up_tables!$A$127:$B$127,2,FALSE)&amp;"|"&amp;$A26&amp;"|"&amp;VLOOKUP(Nutrients_from_current_land_use!$B$8,Value_look_up_tables!$A$140:$B$141,2,FALSE)&amp;"|"&amp;VLOOKUP(Nutrients_from_current_land_use!$B$7, Value_look_up_tables!$A$101:$C$123,3,FALSE)&amp;"|"&amp;VLOOKUP($B$6,Value_look_up_tables!$A$131:$B$136,2,FALSE)))), Value_look_up_tables!$F$16:$H$89,3,FALSE),IFERROR($B26*VLOOKUP($A26&amp;"|"&amp;VLOOKUP(Nutrients_from_current_land_use!$B$8,Value_look_up_tables!$A$140:$B$141,2,FALSE)&amp;"|"&amp;VLOOKUP(Nutrients_from_current_land_use!$B$7, Value_look_up_tables!$A$101:$C$123,3,FALSE)&amp;"|"&amp;VLOOKUP($B$6,Value_look_up_tables!$A$131:$B$136,2,FALSE),Value_look_up_tables!$F$16:$H$89,3,FALSE),"In the absence of real world data, this figure has been generated using the most relevant average nutrient export coefficient."))),"","In the absence of real world data, this figure has been generated using the most relevant average nutrient export coefficient."))</f>
        <v/>
      </c>
    </row>
    <row r="27" spans="1:7" ht="37.5" customHeight="1" x14ac:dyDescent="0.25">
      <c r="A27" s="5"/>
      <c r="B27" s="17"/>
      <c r="C27" s="87" t="str">
        <f>IF(OR(ISBLANK($A27),ISBLANK($B27),ISBLANK($B$6),ISBLANK($B$7)),"",IFERROR($B27*VLOOKUP((IF(OR($A27="Residential urban land",$A27="Commercial/industrial urban land",$A27="Open urban land",$A27="Greenspace",$A27="Community food growing",$A27="Woodland",$A27="Shrub", $A27="Water"), "|||"&amp;$A27, (VLOOKUP(Nutrients_from_current_land_use!$B$5,Value_look_up_tables!$A$127:$B$127,2,FALSE)&amp;"|"&amp;$A27&amp;"|"&amp;VLOOKUP(Nutrients_from_current_land_use!$B$8,Value_look_up_tables!$A$140:$B$141,2,FALSE)&amp;"|"&amp;VLOOKUP(Nutrients_from_current_land_use!$B$7,Value_look_up_tables!$A$101:$C$123,3,FALSE)&amp;"|"&amp;VLOOKUP($B$6,Value_look_up_tables!$A$131:$B$136,2,FALSE)))),Value_look_up_tables!$F$16:$H$97,2,FALSE),
IFERROR(IFERROR($B27*VLOOKUP($A27&amp;"|"&amp;VLOOKUP(Nutrients_from_current_land_use!$B$8,Value_look_up_tables!$A$140:$B$141,2,FALSE)&amp;"|"&amp;VLOOKUP(Nutrients_from_current_land_use!$B$7,Value_look_up_tables!$A$101:$C$123,3,FALSE)&amp;"|"&amp;VLOOKUP($B$6,Value_look_up_tables!$A$131:$B$136,2,FALSE),Value_look_up_tables!$F$16:$H$97,2,FALSE),IFERROR($B27*VLOOKUP($A27&amp;"|"&amp;"TRUE"&amp;"|"&amp;VLOOKUP(Nutrients_from_current_land_use!$B$7,Value_look_up_tables!$A$101:$C$123,3,FALSE)&amp;"|"&amp;VLOOKUP($B$6,Value_look_up_tables!$A$131:$B$136,2,FALSE),Value_look_up_tables!$F$16:$H$97,2,FALSE),$B27*VLOOKUP($A27&amp;"|"&amp;VLOOKUP(Nutrients_from_current_land_use!$B$8,Value_look_up_tables!$A$140:$B$141,2,FALSE)&amp;"|"&amp;VLOOKUP(Nutrients_from_current_land_use!$B$7,Value_look_up_tables!$A$101:$C$123,3,FALSE)&amp;"|"&amp;"DrainedArGr",Value_look_up_tables!$F$16:$H$97,2,FALSE))),IFERROR($B27*VLOOKUP($A27&amp;"|"&amp;VLOOKUP(Nutrients_from_current_land_use!$B$7,Value_look_up_tables!$A$101:$C$123,3,FALSE),Value_look_up_tables!$I$16:$K$89,2,FALSE),$B27*VLOOKUP($A27,Value_look_up_tables!$B$16:$M$89,11,FALSE)))))</f>
        <v/>
      </c>
      <c r="D27" s="87" t="str">
        <f>IF(OR(ISBLANK($A27),ISBLANK($B27),ISBLANK($B$6),ISBLANK($B$7)),"",IFERROR($B27*VLOOKUP((IF(OR($A27="Residential urban land",$A27="Commercial/industrial urban land",$A27="Open urban land",$A27="Greenspace",$A27="Community food growing",$A27="Woodland",$A27="Shrub", $A27="Water"), "|||"&amp;$A27, (VLOOKUP(Nutrients_from_current_land_use!$B$5,Value_look_up_tables!$A$127:$B$127,2,FALSE)&amp;"|"&amp;$A27&amp;"|"&amp;VLOOKUP(Nutrients_from_current_land_use!$B$8,Value_look_up_tables!$A$140:$B$141,2,FALSE)&amp;"|"&amp;VLOOKUP(Nutrients_from_current_land_use!$B$7,Value_look_up_tables!$A$101:$C$123,3,FALSE)&amp;"|"&amp;VLOOKUP($B$6,Value_look_up_tables!$A$131:$B$136,2,FALSE)))),Value_look_up_tables!$F$16:$H$97,3,FALSE),
IFERROR(IFERROR($B27*VLOOKUP($A27&amp;"|"&amp;VLOOKUP(Nutrients_from_current_land_use!$B$8,Value_look_up_tables!$A$140:$B$141,2,FALSE)&amp;"|"&amp;VLOOKUP(Nutrients_from_current_land_use!$B$7,Value_look_up_tables!$A$101:$C$123,3,FALSE)&amp;"|"&amp;VLOOKUP($B$6,Value_look_up_tables!$A$131:$B$136,2,FALSE),Value_look_up_tables!$F$16:$H$97,3,FALSE),IFERROR($B27*VLOOKUP($A27&amp;"|"&amp;"TRUE"&amp;"|"&amp;VLOOKUP(Nutrients_from_current_land_use!$B$7,Value_look_up_tables!$A$101:$C$123,3,FALSE)&amp;"|"&amp;VLOOKUP($B$6,Value_look_up_tables!$A$131:$B$136,2,FALSE),Value_look_up_tables!$F$16:$H$97,3,FALSE),$B27*VLOOKUP($A27&amp;"|"&amp;VLOOKUP(Nutrients_from_current_land_use!$B$8,Value_look_up_tables!$A$140:$B$141,2,FALSE)&amp;"|"&amp;VLOOKUP(Nutrients_from_current_land_use!$B$7,Value_look_up_tables!$A$101:$C$123,3,FALSE)&amp;"|"&amp;"DrainedArGr",Value_look_up_tables!$F$16:$H$97,3,FALSE))),IFERROR($B27*VLOOKUP($A27&amp;"|"&amp;VLOOKUP(Nutrients_from_current_land_use!$B$7,Value_look_up_tables!$A$101:$C$123,3,FALSE),Value_look_up_tables!$I$16:$K$89,3,FALSE),$B27*VLOOKUP($A27,Value_look_up_tables!$B$16:$M$89,12,FALSE)))))</f>
        <v/>
      </c>
      <c r="E27" s="6" t="str">
        <f>IF(OR(ISBLANK($A27),ISBLANK($B27),ISBLANK($B$6),ISBLANK($B$5),ISBLANK($B$7),$A27="Residential urban land",$A27="Commercial/industrial urban land",$A27="Open urban land",$A27="Greenspace",$A27="Community food growing",$A27="Woodland",$A27="Shrub",$A27="Water"),"",IF(ISNUMBER(IFERROR($B27*VLOOKUP((IF(OR($A27="Residential urban land",$A27="Commercial/industrial urban land",$A27="Open urban land",$A27="Greenspace",$A27="Community food growing",$A27="Woodland",$A27="Shrub",$A27="Water"),"|||"&amp;$A27,(VLOOKUP(Nutrients_from_current_land_use!$B$5,Value_look_up_tables!$A$127:$B$127,2,FALSE)&amp;"|"&amp;$A27&amp;"|"&amp;VLOOKUP(Nutrients_from_current_land_use!$B$8,Value_look_up_tables!$A$140:$B$141,2,FALSE)&amp;"|"&amp;VLOOKUP(Nutrients_from_current_land_use!$B$7, Value_look_up_tables!$A$101:$C$123,3,FALSE)&amp;"|"&amp;VLOOKUP($B$6,Value_look_up_tables!$A$131:$B$136,2,FALSE)))), Value_look_up_tables!$F$16:$H$89,3,FALSE),IFERROR($B27*VLOOKUP($A27&amp;"|"&amp;VLOOKUP(Nutrients_from_current_land_use!$B$8,Value_look_up_tables!$A$140:$B$141,2,FALSE)&amp;"|"&amp;VLOOKUP(Nutrients_from_current_land_use!$B$7, Value_look_up_tables!$A$101:$C$123,3,FALSE)&amp;"|"&amp;VLOOKUP($B$6,Value_look_up_tables!$A$131:$B$136,2,FALSE),Value_look_up_tables!$F$16:$H$89,3,FALSE),"In the absence of real world data, this figure has been generated using the most relevant average nutrient export coefficient."))),"","In the absence of real world data, this figure has been generated using the most relevant average nutrient export coefficient."))</f>
        <v/>
      </c>
    </row>
    <row r="28" spans="1:7" ht="24" customHeight="1" x14ac:dyDescent="0.25">
      <c r="A28" s="40" t="s">
        <v>206</v>
      </c>
      <c r="B28" s="18">
        <f>SUM(B11:B27)</f>
        <v>0</v>
      </c>
      <c r="C28" s="19">
        <f>SUM(C11:C27)</f>
        <v>0</v>
      </c>
      <c r="D28" s="19">
        <f>SUM(D11:D27)</f>
        <v>0</v>
      </c>
      <c r="E28" s="25"/>
    </row>
    <row r="30" spans="1:7" ht="15.75" x14ac:dyDescent="0.25">
      <c r="G30" s="21"/>
    </row>
  </sheetData>
  <sheetProtection algorithmName="SHA-512" hashValue="6tvwzPEVdCk0d9qQeSIKCfna3ayau1jC4GcxmfWhES3xyaxQQMMfzRHUhRdoX+nVJsAMnFJooAeztTEKOpCyPA==" saltValue="iOKP+DqV1LNSzEhv/UM2ww==" spinCount="100000" sheet="1"/>
  <protectedRanges>
    <protectedRange algorithmName="SHA-512" hashValue="6MaqfLmjxE2CMsYMEtptASTKbC7XykMYNd+AlVy+V2v/64BykwcwkRmAkImBIYM0n+Am+TaTWEeHGgFZHNJWgA==" saltValue="1lVOneDC33VcvqS0774YtQ==" spinCount="100000" sqref="B5:B8 A11:B27" name="Range1"/>
  </protectedRanges>
  <conditionalFormatting sqref="E11:E27">
    <cfRule type="expression" dxfId="102" priority="14">
      <formula>($E11="In the absence of real world data, this figure has been generated using the most relevant average nutrient reduction coefficient.")</formula>
    </cfRule>
  </conditionalFormatting>
  <dataValidations xWindow="173" yWindow="764" count="1">
    <dataValidation type="decimal" operator="greaterThanOrEqual" allowBlank="1" showErrorMessage="1" prompt="Please enter area in hectares." sqref="B11:B27" xr:uid="{7A3F0B97-DB05-43E3-94F5-093694D5E348}">
      <formula1>0</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xWindow="173" yWindow="764" count="5">
        <x14:dataValidation type="list" operator="greaterThan" allowBlank="1" showErrorMessage="1" errorTitle="Catchment Error" error="Please enter your catchment." prompt="Please enter the Operational Catchment that the development site is within. If unsure Please see the instructions page (Section 3.1) for guidance on how to determine this." xr:uid="{B2B19558-C6B4-46F2-B681-B62D4CF291FE}">
          <x14:formula1>
            <xm:f>Value_look_up_tables!$A$127</xm:f>
          </x14:formula1>
          <xm:sqref>B5</xm:sqref>
        </x14:dataValidation>
        <x14:dataValidation type="list" allowBlank="1" showErrorMessage="1" errorTitle="Rainfall" error="Rainfall must be entered from the drop down list." prompt="Please enter the annual average rainfall for the development site. If unsure please see the instructions page (Section 3.3) for guidance on how to determine this. If the rainfall volume is not on the list, please select the nearest value." xr:uid="{506A711F-D616-42C7-91D7-47C349233471}">
          <x14:formula1>
            <xm:f>Value_look_up_tables!$A$109:$A$116</xm:f>
          </x14:formula1>
          <xm:sqref>B7</xm:sqref>
        </x14:dataValidation>
        <x14:dataValidation type="list" showErrorMessage="1" errorTitle="NVZ" error="Please select whether development area is within an NVZ." prompt="Please select whether the development area is within an NVZ. If unsure please see the instructions page (Section 3.4) for guidance on how to determine this. " xr:uid="{9F25A89B-2F33-4BD1-97BD-EA33B22A96BB}">
          <x14:formula1>
            <xm:f>Value_look_up_tables!$A$140:$A$141</xm:f>
          </x14:formula1>
          <xm:sqref>B8</xm:sqref>
        </x14:dataValidation>
        <x14:dataValidation type="list" operator="greaterThan" allowBlank="1" showErrorMessage="1" errorTitle="Soil drainage type" error="Pleas enter the soil drainage type for the development site." prompt="Please enter the soil drainage type for the development site. If unsure please see the instructions page (Section 3.2) for guidance on how to determine this." xr:uid="{30EB6C55-0D33-4679-BDCD-D3A716B82E75}">
          <x14:formula1>
            <xm:f>Value_look_up_tables!$A$131:$A$136</xm:f>
          </x14:formula1>
          <xm:sqref>B6</xm:sqref>
        </x14:dataValidation>
        <x14:dataValidation type="list" allowBlank="1" showErrorMessage="1" errorTitle="Landcover" error="Please select all pre exisitng landcover types." prompt="Select exisiting (pre-development) land use types from the drop down list." xr:uid="{3D7D9629-040D-41DD-980D-2CF48476BDE7}">
          <x14:formula1>
            <xm:f>Value_look_up_tables!$A$165:$A$180</xm:f>
          </x14:formula1>
          <xm:sqref>A11:A27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1268-2FDD-4208-B879-2DF0627A5BBD}">
  <dimension ref="A1:F22"/>
  <sheetViews>
    <sheetView zoomScaleNormal="100" workbookViewId="0"/>
  </sheetViews>
  <sheetFormatPr defaultColWidth="9.140625" defaultRowHeight="15" x14ac:dyDescent="0.2"/>
  <cols>
    <col min="1" max="1" width="69.85546875" style="105" customWidth="1"/>
    <col min="2" max="2" width="40.5703125" style="105" customWidth="1"/>
    <col min="3" max="3" width="24.7109375" style="105" customWidth="1"/>
    <col min="4" max="4" width="24.5703125" style="105" customWidth="1"/>
    <col min="5" max="474" width="8.5703125" style="105" customWidth="1"/>
    <col min="475" max="16384" width="9.140625" style="105"/>
  </cols>
  <sheetData>
    <row r="1" spans="1:4" ht="36.75" customHeight="1" x14ac:dyDescent="0.2">
      <c r="A1" s="15" t="s">
        <v>130</v>
      </c>
      <c r="B1" s="107"/>
      <c r="C1" s="107"/>
      <c r="D1" s="107"/>
    </row>
    <row r="2" spans="1:4" ht="267" customHeight="1" x14ac:dyDescent="0.2">
      <c r="A2" s="32" t="s">
        <v>249</v>
      </c>
      <c r="B2" s="21"/>
      <c r="C2" s="107"/>
      <c r="D2" s="107"/>
    </row>
    <row r="3" spans="1:4" ht="49.5" customHeight="1" x14ac:dyDescent="0.25">
      <c r="A3" s="24" t="s">
        <v>202</v>
      </c>
      <c r="B3" s="106"/>
      <c r="C3" s="106"/>
      <c r="D3" s="106"/>
    </row>
    <row r="4" spans="1:4" ht="54" customHeight="1" x14ac:dyDescent="0.2">
      <c r="A4" s="33" t="s">
        <v>5</v>
      </c>
      <c r="B4" s="33" t="s">
        <v>140</v>
      </c>
      <c r="C4" s="33" t="s">
        <v>147</v>
      </c>
      <c r="D4" s="33" t="s">
        <v>148</v>
      </c>
    </row>
    <row r="5" spans="1:4" ht="23.25" customHeight="1" x14ac:dyDescent="0.2">
      <c r="A5" s="34"/>
      <c r="B5" s="17"/>
      <c r="C5" s="38" t="str">
        <f>IF(OR(ISBLANK(A5),ISBLANK(B5)),"",B5*VLOOKUP((IF(OR(A5="Residential urban land",A5="Commercial/industrial urban land",A5="Open urban land",A5="Greenspace",A5="Community food growing",A5="Woodland",A5="Shrub", A5="Water"), "|||"&amp;A5, (VLOOKUP(Nutrients_from_current_land_use!$B$5,Value_look_up_tables!$A$127:$B$127,2,FALSE)&amp;"|"&amp;A5&amp;"|"&amp;VLOOKUP(Nutrients_from_current_land_use!$C$8,Value_look_up_tables!$A$140:$B$141,2,FALSE)&amp;"|"&amp;VLOOKUP(Nutrients_from_current_land_use!$C$7,Value_look_up_tables!$A$101:$C$123,3,FALSE)&amp;"|"&amp;VLOOKUP(Nutrients_from_current_land_use!$B$6,Value_look_up_tables!$A$131:$B$136,2,FALSE)))),Value_look_up_tables!$F$16:$H$97,2,FALSE))</f>
        <v/>
      </c>
      <c r="D5" s="38" t="str">
        <f>IF(OR(ISBLANK(A5),ISBLANK(B5)),"",B5*VLOOKUP((IF(OR(A5="Residential urban land",A5="Commercial/industrial urban land",A5="Open urban land",A5="Greenspace",A5="Community food growing",A5="Woodland",A5="Shrub", A5="Water"), "|||"&amp;A5, (VLOOKUP(Nutrients_from_current_land_use!$B$5,Value_look_up_tables!$A$127:$B$127,2,FALSE)&amp;"|"&amp;A5&amp;"|"&amp;VLOOKUP(Nutrients_from_current_land_use!$C$8,Value_look_up_tables!$A$140:$B$141,2,FALSE)&amp;"|"&amp;VLOOKUP(Nutrients_from_current_land_use!$C$7,Value_look_up_tables!$A$101:$C$123,3,FALSE)&amp;"|"&amp;VLOOKUP(Nutrients_from_current_land_use!$B$6,Value_look_up_tables!$A$131:$B$136,2,FALSE)))),Value_look_up_tables!$F$16:$H$97,3,FALSE))</f>
        <v/>
      </c>
    </row>
    <row r="6" spans="1:4" ht="23.25" customHeight="1" x14ac:dyDescent="0.2">
      <c r="A6" s="1"/>
      <c r="B6" s="16"/>
      <c r="C6" s="36" t="str">
        <f>IF(OR(ISBLANK(A6),ISBLANK(B6)),"",B6*VLOOKUP((IF(OR(A6="Residential urban land",A6="Commercial/industrial urban land",A6="Open urban land",A6="Greenspace",A6="Community food growing",A6="Woodland",A6="Shrub", A6="Water"), "|||"&amp;A6, (VLOOKUP(Nutrients_from_current_land_use!$B$5,Value_look_up_tables!$A$127:$B$127,2,FALSE)&amp;"|"&amp;A6&amp;"|"&amp;VLOOKUP(Nutrients_from_current_land_use!$C$8,Value_look_up_tables!$A$140:$B$141,2,FALSE)&amp;"|"&amp;VLOOKUP(Nutrients_from_current_land_use!$C$7,Value_look_up_tables!$A$101:$C$123,3,FALSE)&amp;"|"&amp;VLOOKUP(Nutrients_from_current_land_use!$B$6,Value_look_up_tables!$A$131:$B$136,2,FALSE)))),Value_look_up_tables!$F$16:$H$97,2,FALSE))</f>
        <v/>
      </c>
      <c r="D6" s="36" t="str">
        <f>IF(OR(ISBLANK(A6),ISBLANK(B6)),"",B6*VLOOKUP((IF(OR(A6="Residential urban land",A6="Commercial/industrial urban land",A6="Open urban land",A6="Greenspace",A6="Community food growing",A6="Woodland",A6="Shrub", A6="Water"), "|||"&amp;A6, (VLOOKUP(Nutrients_from_current_land_use!$B$5,Value_look_up_tables!$A$127:$B$127,2,FALSE)&amp;"|"&amp;A6&amp;"|"&amp;VLOOKUP(Nutrients_from_current_land_use!$C$8,Value_look_up_tables!$A$140:$B$141,2,FALSE)&amp;"|"&amp;VLOOKUP(Nutrients_from_current_land_use!$C$7,Value_look_up_tables!$A$101:$C$123,3,FALSE)&amp;"|"&amp;VLOOKUP(Nutrients_from_current_land_use!$B$6,Value_look_up_tables!$A$131:$B$136,2,FALSE)))),Value_look_up_tables!$F$16:$H$97,3,FALSE))</f>
        <v/>
      </c>
    </row>
    <row r="7" spans="1:4" ht="23.25" customHeight="1" x14ac:dyDescent="0.2">
      <c r="A7" s="1"/>
      <c r="B7" s="16"/>
      <c r="C7" s="36" t="str">
        <f>IF(OR(ISBLANK(A7),ISBLANK(B7)),"",B7*VLOOKUP((IF(OR(A7="Residential urban land",A7="Commercial/industrial urban land",A7="Open urban land",A7="Greenspace",A7="Community food growing",A7="Woodland",A7="Shrub", A7="Water"), "|||"&amp;A7, (VLOOKUP(Nutrients_from_current_land_use!$B$5,Value_look_up_tables!$A$127:$B$127,2,FALSE)&amp;"|"&amp;A7&amp;"|"&amp;VLOOKUP(Nutrients_from_current_land_use!$C$8,Value_look_up_tables!$A$140:$B$141,2,FALSE)&amp;"|"&amp;VLOOKUP(Nutrients_from_current_land_use!$C$7,Value_look_up_tables!$A$101:$C$123,3,FALSE)&amp;"|"&amp;VLOOKUP(Nutrients_from_current_land_use!$B$6,Value_look_up_tables!$A$131:$B$136,2,FALSE)))),Value_look_up_tables!$F$16:$H$97,2,FALSE))</f>
        <v/>
      </c>
      <c r="D7" s="36" t="str">
        <f>IF(OR(ISBLANK(A7),ISBLANK(B7)),"",B7*VLOOKUP((IF(OR(A7="Residential urban land",A7="Commercial/industrial urban land",A7="Open urban land",A7="Greenspace",A7="Community food growing",A7="Woodland",A7="Shrub", A7="Water"), "|||"&amp;A7, (VLOOKUP(Nutrients_from_current_land_use!$B$5,Value_look_up_tables!$A$127:$B$127,2,FALSE)&amp;"|"&amp;A7&amp;"|"&amp;VLOOKUP(Nutrients_from_current_land_use!$C$8,Value_look_up_tables!$A$140:$B$141,2,FALSE)&amp;"|"&amp;VLOOKUP(Nutrients_from_current_land_use!$C$7,Value_look_up_tables!$A$101:$C$123,3,FALSE)&amp;"|"&amp;VLOOKUP(Nutrients_from_current_land_use!$B$6,Value_look_up_tables!$A$131:$B$136,2,FALSE)))),Value_look_up_tables!$F$16:$H$97,3,FALSE))</f>
        <v/>
      </c>
    </row>
    <row r="8" spans="1:4" ht="23.25" customHeight="1" x14ac:dyDescent="0.2">
      <c r="A8" s="1"/>
      <c r="B8" s="16"/>
      <c r="C8" s="36" t="str">
        <f>IF(OR(ISBLANK(A8),ISBLANK(B8)),"",B8*VLOOKUP((IF(OR(A8="Residential urban land",A8="Commercial/industrial urban land",A8="Open urban land",A8="Greenspace",A8="Community food growing",A8="Woodland",A8="Shrub", A8="Water"), "|||"&amp;A8, (VLOOKUP(Nutrients_from_current_land_use!$B$5,Value_look_up_tables!$A$127:$B$127,2,FALSE)&amp;"|"&amp;A8&amp;"|"&amp;VLOOKUP(Nutrients_from_current_land_use!$C$8,Value_look_up_tables!$A$140:$B$141,2,FALSE)&amp;"|"&amp;VLOOKUP(Nutrients_from_current_land_use!$C$7,Value_look_up_tables!$A$101:$C$123,3,FALSE)&amp;"|"&amp;VLOOKUP(Nutrients_from_current_land_use!$B$6,Value_look_up_tables!$A$131:$B$136,2,FALSE)))),Value_look_up_tables!$F$16:$H$97,2,FALSE))</f>
        <v/>
      </c>
      <c r="D8" s="36" t="str">
        <f>IF(OR(ISBLANK(A8),ISBLANK(B8)),"",B8*VLOOKUP((IF(OR(A8="Residential urban land",A8="Commercial/industrial urban land",A8="Open urban land",A8="Greenspace",A8="Community food growing",A8="Woodland",A8="Shrub", A8="Water"), "|||"&amp;A8, (VLOOKUP(Nutrients_from_current_land_use!$B$5,Value_look_up_tables!$A$127:$B$127,2,FALSE)&amp;"|"&amp;A8&amp;"|"&amp;VLOOKUP(Nutrients_from_current_land_use!$C$8,Value_look_up_tables!$A$140:$B$141,2,FALSE)&amp;"|"&amp;VLOOKUP(Nutrients_from_current_land_use!$C$7,Value_look_up_tables!$A$101:$C$123,3,FALSE)&amp;"|"&amp;VLOOKUP(Nutrients_from_current_land_use!$B$6,Value_look_up_tables!$A$131:$B$136,2,FALSE)))),Value_look_up_tables!$F$16:$H$97,3,FALSE))</f>
        <v/>
      </c>
    </row>
    <row r="9" spans="1:4" ht="23.25" customHeight="1" x14ac:dyDescent="0.2">
      <c r="A9" s="1"/>
      <c r="B9" s="16"/>
      <c r="C9" s="36" t="str">
        <f>IF(OR(ISBLANK(A9),ISBLANK(B9)),"",B9*VLOOKUP((IF(OR(A9="Residential urban land",A9="Commercial/industrial urban land",A9="Open urban land",A9="Greenspace",A9="Community food growing",A9="Woodland",A9="Shrub", A9="Water"), "|||"&amp;A9, (VLOOKUP(Nutrients_from_current_land_use!$B$5,Value_look_up_tables!$A$127:$B$127,2,FALSE)&amp;"|"&amp;A9&amp;"|"&amp;VLOOKUP(Nutrients_from_current_land_use!$C$8,Value_look_up_tables!$A$140:$B$141,2,FALSE)&amp;"|"&amp;VLOOKUP(Nutrients_from_current_land_use!$C$7,Value_look_up_tables!$A$101:$C$123,3,FALSE)&amp;"|"&amp;VLOOKUP(Nutrients_from_current_land_use!$B$6,Value_look_up_tables!$A$131:$B$136,2,FALSE)))),Value_look_up_tables!$F$16:$H$97,2,FALSE))</f>
        <v/>
      </c>
      <c r="D9" s="36" t="str">
        <f>IF(OR(ISBLANK(A9),ISBLANK(B9)),"",B9*VLOOKUP((IF(OR(A9="Residential urban land",A9="Commercial/industrial urban land",A9="Open urban land",A9="Greenspace",A9="Community food growing",A9="Woodland",A9="Shrub", A9="Water"), "|||"&amp;A9, (VLOOKUP(Nutrients_from_current_land_use!$B$5,Value_look_up_tables!$A$127:$B$127,2,FALSE)&amp;"|"&amp;A9&amp;"|"&amp;VLOOKUP(Nutrients_from_current_land_use!$C$8,Value_look_up_tables!$A$140:$B$141,2,FALSE)&amp;"|"&amp;VLOOKUP(Nutrients_from_current_land_use!$C$7,Value_look_up_tables!$A$101:$C$123,3,FALSE)&amp;"|"&amp;VLOOKUP(Nutrients_from_current_land_use!$B$6,Value_look_up_tables!$A$131:$B$136,2,FALSE)))),Value_look_up_tables!$F$16:$H$97,3,FALSE))</f>
        <v/>
      </c>
    </row>
    <row r="10" spans="1:4" ht="23.25" customHeight="1" x14ac:dyDescent="0.2">
      <c r="A10" s="1"/>
      <c r="B10" s="16"/>
      <c r="C10" s="36" t="str">
        <f>IF(OR(ISBLANK(A10),ISBLANK(B10)),"",B10*VLOOKUP((IF(OR(A10="Residential urban land",A10="Commercial/industrial urban land",A10="Open urban land",A10="Greenspace",A10="Community food growing",A10="Woodland",A10="Shrub", A10="Water"), "|||"&amp;A10, (VLOOKUP(Nutrients_from_current_land_use!$B$5,Value_look_up_tables!$A$127:$B$127,2,FALSE)&amp;"|"&amp;A10&amp;"|"&amp;VLOOKUP(Nutrients_from_current_land_use!$C$8,Value_look_up_tables!$A$140:$B$141,2,FALSE)&amp;"|"&amp;VLOOKUP(Nutrients_from_current_land_use!$C$7,Value_look_up_tables!$A$101:$C$123,3,FALSE)&amp;"|"&amp;VLOOKUP(Nutrients_from_current_land_use!$B$6,Value_look_up_tables!$A$131:$B$136,2,FALSE)))),Value_look_up_tables!$F$16:$H$97,2,FALSE))</f>
        <v/>
      </c>
      <c r="D10" s="36" t="str">
        <f>IF(OR(ISBLANK(A10),ISBLANK(B10)),"",B10*VLOOKUP((IF(OR(A10="Residential urban land",A10="Commercial/industrial urban land",A10="Open urban land",A10="Greenspace",A10="Community food growing",A10="Woodland",A10="Shrub", A10="Water"), "|||"&amp;A10, (VLOOKUP(Nutrients_from_current_land_use!$B$5,Value_look_up_tables!$A$127:$B$127,2,FALSE)&amp;"|"&amp;A10&amp;"|"&amp;VLOOKUP(Nutrients_from_current_land_use!$C$8,Value_look_up_tables!$A$140:$B$141,2,FALSE)&amp;"|"&amp;VLOOKUP(Nutrients_from_current_land_use!$C$7,Value_look_up_tables!$A$101:$C$123,3,FALSE)&amp;"|"&amp;VLOOKUP(Nutrients_from_current_land_use!$B$6,Value_look_up_tables!$A$131:$B$136,2,FALSE)))),Value_look_up_tables!$F$16:$H$97,3,FALSE))</f>
        <v/>
      </c>
    </row>
    <row r="11" spans="1:4" ht="23.25" customHeight="1" x14ac:dyDescent="0.2">
      <c r="A11" s="1"/>
      <c r="B11" s="16"/>
      <c r="C11" s="36" t="str">
        <f>IF(OR(ISBLANK(A11),ISBLANK(B11)),"",B11*VLOOKUP((IF(OR(A11="Residential urban land",A11="Commercial/industrial urban land",A11="Open urban land",A11="Greenspace",A11="Community food growing",A11="Woodland",A11="Shrub", A11="Water"), "|||"&amp;A11, (VLOOKUP(Nutrients_from_current_land_use!$B$5,Value_look_up_tables!$A$127:$B$127,2,FALSE)&amp;"|"&amp;A11&amp;"|"&amp;VLOOKUP(Nutrients_from_current_land_use!$C$8,Value_look_up_tables!$A$140:$B$141,2,FALSE)&amp;"|"&amp;VLOOKUP(Nutrients_from_current_land_use!$C$7,Value_look_up_tables!$A$101:$C$123,3,FALSE)&amp;"|"&amp;VLOOKUP(Nutrients_from_current_land_use!$B$6,Value_look_up_tables!$A$131:$B$136,2,FALSE)))),Value_look_up_tables!$F$16:$H$97,2,FALSE))</f>
        <v/>
      </c>
      <c r="D11" s="36" t="str">
        <f>IF(OR(ISBLANK(A11),ISBLANK(B11)),"",B11*VLOOKUP((IF(OR(A11="Residential urban land",A11="Commercial/industrial urban land",A11="Open urban land",A11="Greenspace",A11="Community food growing",A11="Woodland",A11="Shrub", A11="Water"), "|||"&amp;A11, (VLOOKUP(Nutrients_from_current_land_use!$B$5,Value_look_up_tables!$A$127:$B$127,2,FALSE)&amp;"|"&amp;A11&amp;"|"&amp;VLOOKUP(Nutrients_from_current_land_use!$C$8,Value_look_up_tables!$A$140:$B$141,2,FALSE)&amp;"|"&amp;VLOOKUP(Nutrients_from_current_land_use!$C$7,Value_look_up_tables!$A$101:$C$123,3,FALSE)&amp;"|"&amp;VLOOKUP(Nutrients_from_current_land_use!$B$6,Value_look_up_tables!$A$131:$B$136,2,FALSE)))),Value_look_up_tables!$F$16:$H$97,3,FALSE))</f>
        <v/>
      </c>
    </row>
    <row r="12" spans="1:4" ht="23.25" customHeight="1" x14ac:dyDescent="0.2">
      <c r="A12" s="1"/>
      <c r="B12" s="16"/>
      <c r="C12" s="36" t="str">
        <f>IF(OR(ISBLANK(A12),ISBLANK(B12)),"",B12*VLOOKUP((IF(OR(A12="Residential urban land",A12="Commercial/industrial urban land",A12="Open urban land",A12="Greenspace",A12="Community food growing",A12="Woodland",A12="Shrub", A12="Water"), "|||"&amp;A12, (VLOOKUP(Nutrients_from_current_land_use!$B$5,Value_look_up_tables!$A$127:$B$127,2,FALSE)&amp;"|"&amp;A12&amp;"|"&amp;VLOOKUP(Nutrients_from_current_land_use!$C$8,Value_look_up_tables!$A$140:$B$141,2,FALSE)&amp;"|"&amp;VLOOKUP(Nutrients_from_current_land_use!$C$7,Value_look_up_tables!$A$101:$C$123,3,FALSE)&amp;"|"&amp;VLOOKUP(Nutrients_from_current_land_use!$B$6,Value_look_up_tables!$A$131:$B$136,2,FALSE)))),Value_look_up_tables!$F$16:$H$97,2,FALSE))</f>
        <v/>
      </c>
      <c r="D12" s="36" t="str">
        <f>IF(OR(ISBLANK(A12),ISBLANK(B12)),"",B12*VLOOKUP((IF(OR(A12="Residential urban land",A12="Commercial/industrial urban land",A12="Open urban land",A12="Greenspace",A12="Community food growing",A12="Woodland",A12="Shrub", A12="Water"), "|||"&amp;A12, (VLOOKUP(Nutrients_from_current_land_use!$B$5,Value_look_up_tables!$A$127:$B$127,2,FALSE)&amp;"|"&amp;A12&amp;"|"&amp;VLOOKUP(Nutrients_from_current_land_use!$C$8,Value_look_up_tables!$A$140:$B$141,2,FALSE)&amp;"|"&amp;VLOOKUP(Nutrients_from_current_land_use!$C$7,Value_look_up_tables!$A$101:$C$123,3,FALSE)&amp;"|"&amp;VLOOKUP(Nutrients_from_current_land_use!$B$6,Value_look_up_tables!$A$131:$B$136,2,FALSE)))),Value_look_up_tables!$F$16:$H$97,3,FALSE))</f>
        <v/>
      </c>
    </row>
    <row r="13" spans="1:4" ht="23.25" customHeight="1" x14ac:dyDescent="0.2">
      <c r="A13" s="1"/>
      <c r="B13" s="16"/>
      <c r="C13" s="36" t="str">
        <f>IF(OR(ISBLANK(A13),ISBLANK(B13)),"",B13*VLOOKUP((IF(OR(A13="Residential urban land",A13="Commercial/industrial urban land",A13="Open urban land",A13="Greenspace",A13="Community food growing",A13="Woodland",A13="Shrub", A13="Water"), "|||"&amp;A13, (VLOOKUP(Nutrients_from_current_land_use!$B$5,Value_look_up_tables!$A$127:$B$127,2,FALSE)&amp;"|"&amp;A13&amp;"|"&amp;VLOOKUP(Nutrients_from_current_land_use!$C$8,Value_look_up_tables!$A$140:$B$141,2,FALSE)&amp;"|"&amp;VLOOKUP(Nutrients_from_current_land_use!$C$7,Value_look_up_tables!$A$101:$C$123,3,FALSE)&amp;"|"&amp;VLOOKUP(Nutrients_from_current_land_use!$B$6,Value_look_up_tables!$A$131:$B$136,2,FALSE)))),Value_look_up_tables!$F$16:$H$97,2,FALSE))</f>
        <v/>
      </c>
      <c r="D13" s="36" t="str">
        <f>IF(OR(ISBLANK(A13),ISBLANK(B13)),"",B13*VLOOKUP((IF(OR(A13="Residential urban land",A13="Commercial/industrial urban land",A13="Open urban land",A13="Greenspace",A13="Community food growing",A13="Woodland",A13="Shrub", A13="Water"), "|||"&amp;A13, (VLOOKUP(Nutrients_from_current_land_use!$B$5,Value_look_up_tables!$A$127:$B$127,2,FALSE)&amp;"|"&amp;A13&amp;"|"&amp;VLOOKUP(Nutrients_from_current_land_use!$C$8,Value_look_up_tables!$A$140:$B$141,2,FALSE)&amp;"|"&amp;VLOOKUP(Nutrients_from_current_land_use!$C$7,Value_look_up_tables!$A$101:$C$123,3,FALSE)&amp;"|"&amp;VLOOKUP(Nutrients_from_current_land_use!$B$6,Value_look_up_tables!$A$131:$B$136,2,FALSE)))),Value_look_up_tables!$F$16:$H$97,3,FALSE))</f>
        <v/>
      </c>
    </row>
    <row r="14" spans="1:4" ht="23.25" customHeight="1" x14ac:dyDescent="0.2">
      <c r="A14" s="1"/>
      <c r="B14" s="16"/>
      <c r="C14" s="36" t="str">
        <f>IF(OR(ISBLANK(A14),ISBLANK(B14)),"",B14*VLOOKUP((IF(OR(A14="Residential urban land",A14="Commercial/industrial urban land",A14="Open urban land",A14="Greenspace",A14="Community food growing",A14="Woodland",A14="Shrub", A14="Water"), "|||"&amp;A14, (VLOOKUP(Nutrients_from_current_land_use!$B$5,Value_look_up_tables!$A$127:$B$127,2,FALSE)&amp;"|"&amp;A14&amp;"|"&amp;VLOOKUP(Nutrients_from_current_land_use!$C$8,Value_look_up_tables!$A$140:$B$141,2,FALSE)&amp;"|"&amp;VLOOKUP(Nutrients_from_current_land_use!$C$7,Value_look_up_tables!$A$101:$C$123,3,FALSE)&amp;"|"&amp;VLOOKUP(Nutrients_from_current_land_use!$B$6,Value_look_up_tables!$A$131:$B$136,2,FALSE)))),Value_look_up_tables!$F$16:$H$97,2,FALSE))</f>
        <v/>
      </c>
      <c r="D14" s="36" t="str">
        <f>IF(OR(ISBLANK(A14),ISBLANK(B14)),"",B14*VLOOKUP((IF(OR(A14="Residential urban land",A14="Commercial/industrial urban land",A14="Open urban land",A14="Greenspace",A14="Community food growing",A14="Woodland",A14="Shrub", A14="Water"), "|||"&amp;A14, (VLOOKUP(Nutrients_from_current_land_use!$B$5,Value_look_up_tables!$A$127:$B$127,2,FALSE)&amp;"|"&amp;A14&amp;"|"&amp;VLOOKUP(Nutrients_from_current_land_use!$C$8,Value_look_up_tables!$A$140:$B$141,2,FALSE)&amp;"|"&amp;VLOOKUP(Nutrients_from_current_land_use!$C$7,Value_look_up_tables!$A$101:$C$123,3,FALSE)&amp;"|"&amp;VLOOKUP(Nutrients_from_current_land_use!$B$6,Value_look_up_tables!$A$131:$B$136,2,FALSE)))),Value_look_up_tables!$F$16:$H$97,3,FALSE))</f>
        <v/>
      </c>
    </row>
    <row r="15" spans="1:4" ht="23.25" customHeight="1" x14ac:dyDescent="0.2">
      <c r="A15" s="1"/>
      <c r="B15" s="16"/>
      <c r="C15" s="36" t="str">
        <f>IF(OR(ISBLANK(A15),ISBLANK(B15)),"",B15*VLOOKUP((IF(OR(A15="Residential urban land",A15="Commercial/industrial urban land",A15="Open urban land",A15="Greenspace",A15="Community food growing",A15="Woodland",A15="Shrub", A15="Water"), "|||"&amp;A15, (VLOOKUP(Nutrients_from_current_land_use!$B$5,Value_look_up_tables!$A$127:$B$127,2,FALSE)&amp;"|"&amp;A15&amp;"|"&amp;VLOOKUP(Nutrients_from_current_land_use!$C$8,Value_look_up_tables!$A$140:$B$141,2,FALSE)&amp;"|"&amp;VLOOKUP(Nutrients_from_current_land_use!$C$7,Value_look_up_tables!$A$101:$C$123,3,FALSE)&amp;"|"&amp;VLOOKUP(Nutrients_from_current_land_use!$B$6,Value_look_up_tables!$A$131:$B$136,2,FALSE)))),Value_look_up_tables!$F$16:$H$97,2,FALSE))</f>
        <v/>
      </c>
      <c r="D15" s="36" t="str">
        <f>IF(OR(ISBLANK(A15),ISBLANK(B15)),"",B15*VLOOKUP((IF(OR(A15="Residential urban land",A15="Commercial/industrial urban land",A15="Open urban land",A15="Greenspace",A15="Community food growing",A15="Woodland",A15="Shrub", A15="Water"), "|||"&amp;A15, (VLOOKUP(Nutrients_from_current_land_use!$B$5,Value_look_up_tables!$A$127:$B$127,2,FALSE)&amp;"|"&amp;A15&amp;"|"&amp;VLOOKUP(Nutrients_from_current_land_use!$C$8,Value_look_up_tables!$A$140:$B$141,2,FALSE)&amp;"|"&amp;VLOOKUP(Nutrients_from_current_land_use!$C$7,Value_look_up_tables!$A$101:$C$123,3,FALSE)&amp;"|"&amp;VLOOKUP(Nutrients_from_current_land_use!$B$6,Value_look_up_tables!$A$131:$B$136,2,FALSE)))),Value_look_up_tables!$F$16:$H$97,3,FALSE))</f>
        <v/>
      </c>
    </row>
    <row r="16" spans="1:4" ht="23.25" customHeight="1" x14ac:dyDescent="0.2">
      <c r="A16" s="1"/>
      <c r="B16" s="16"/>
      <c r="C16" s="36" t="str">
        <f>IF(OR(ISBLANK(A16),ISBLANK(B16)),"",B16*VLOOKUP((IF(OR(A16="Residential urban land",A16="Commercial/industrial urban land",A16="Open urban land",A16="Greenspace",A16="Community food growing",A16="Woodland",A16="Shrub", A16="Water"), "|||"&amp;A16, (VLOOKUP(Nutrients_from_current_land_use!$B$5,Value_look_up_tables!$A$127:$B$127,2,FALSE)&amp;"|"&amp;A16&amp;"|"&amp;VLOOKUP(Nutrients_from_current_land_use!$C$8,Value_look_up_tables!$A$140:$B$141,2,FALSE)&amp;"|"&amp;VLOOKUP(Nutrients_from_current_land_use!$C$7,Value_look_up_tables!$A$101:$C$123,3,FALSE)&amp;"|"&amp;VLOOKUP(Nutrients_from_current_land_use!$B$6,Value_look_up_tables!$A$131:$B$136,2,FALSE)))),Value_look_up_tables!$F$16:$H$97,2,FALSE))</f>
        <v/>
      </c>
      <c r="D16" s="36" t="str">
        <f>IF(OR(ISBLANK(A16),ISBLANK(B16)),"",B16*VLOOKUP((IF(OR(A16="Residential urban land",A16="Commercial/industrial urban land",A16="Open urban land",A16="Greenspace",A16="Community food growing",A16="Woodland",A16="Shrub", A16="Water"), "|||"&amp;A16, (VLOOKUP(Nutrients_from_current_land_use!$B$5,Value_look_up_tables!$A$127:$B$127,2,FALSE)&amp;"|"&amp;A16&amp;"|"&amp;VLOOKUP(Nutrients_from_current_land_use!$C$8,Value_look_up_tables!$A$140:$B$141,2,FALSE)&amp;"|"&amp;VLOOKUP(Nutrients_from_current_land_use!$C$7,Value_look_up_tables!$A$101:$C$123,3,FALSE)&amp;"|"&amp;VLOOKUP(Nutrients_from_current_land_use!$B$6,Value_look_up_tables!$A$131:$B$136,2,FALSE)))),Value_look_up_tables!$F$16:$H$97,3,FALSE))</f>
        <v/>
      </c>
    </row>
    <row r="17" spans="1:6" ht="23.25" customHeight="1" x14ac:dyDescent="0.2">
      <c r="A17" s="1"/>
      <c r="B17" s="16"/>
      <c r="C17" s="36" t="str">
        <f>IF(OR(ISBLANK(A17),ISBLANK(B17)),"",B17*VLOOKUP((IF(OR(A17="Residential urban land",A17="Commercial/industrial urban land",A17="Open urban land",A17="Greenspace",A17="Community food growing",A17="Woodland",A17="Shrub", A17="Water"), "|||"&amp;A17, (VLOOKUP(Nutrients_from_current_land_use!$B$5,Value_look_up_tables!$A$127:$B$127,2,FALSE)&amp;"|"&amp;A17&amp;"|"&amp;VLOOKUP(Nutrients_from_current_land_use!$C$8,Value_look_up_tables!$A$140:$B$141,2,FALSE)&amp;"|"&amp;VLOOKUP(Nutrients_from_current_land_use!$C$7,Value_look_up_tables!$A$101:$C$123,3,FALSE)&amp;"|"&amp;VLOOKUP(Nutrients_from_current_land_use!$B$6,Value_look_up_tables!$A$131:$B$136,2,FALSE)))),Value_look_up_tables!$F$16:$H$97,2,FALSE))</f>
        <v/>
      </c>
      <c r="D17" s="36" t="str">
        <f>IF(OR(ISBLANK(A17),ISBLANK(B17)),"",B17*VLOOKUP((IF(OR(A17="Residential urban land",A17="Commercial/industrial urban land",A17="Open urban land",A17="Greenspace",A17="Community food growing",A17="Woodland",A17="Shrub", A17="Water"), "|||"&amp;A17, (VLOOKUP(Nutrients_from_current_land_use!$B$5,Value_look_up_tables!$A$127:$B$127,2,FALSE)&amp;"|"&amp;A17&amp;"|"&amp;VLOOKUP(Nutrients_from_current_land_use!$C$8,Value_look_up_tables!$A$140:$B$141,2,FALSE)&amp;"|"&amp;VLOOKUP(Nutrients_from_current_land_use!$C$7,Value_look_up_tables!$A$101:$C$123,3,FALSE)&amp;"|"&amp;VLOOKUP(Nutrients_from_current_land_use!$B$6,Value_look_up_tables!$A$131:$B$136,2,FALSE)))),Value_look_up_tables!$F$16:$H$97,3,FALSE))</f>
        <v/>
      </c>
    </row>
    <row r="18" spans="1:6" ht="23.25" customHeight="1" x14ac:dyDescent="0.2">
      <c r="A18" s="1"/>
      <c r="B18" s="16"/>
      <c r="C18" s="36" t="str">
        <f>IF(OR(ISBLANK(A18),ISBLANK(B18)),"",B18*VLOOKUP((IF(OR(A18="Residential urban land",A18="Commercial/industrial urban land",A18="Open urban land",A18="Greenspace",A18="Community food growing",A18="Woodland",A18="Shrub", A18="Water"), "|||"&amp;A18, (VLOOKUP(Nutrients_from_current_land_use!$B$5,Value_look_up_tables!$A$127:$B$127,2,FALSE)&amp;"|"&amp;A18&amp;"|"&amp;VLOOKUP(Nutrients_from_current_land_use!$C$8,Value_look_up_tables!$A$140:$B$141,2,FALSE)&amp;"|"&amp;VLOOKUP(Nutrients_from_current_land_use!$C$7,Value_look_up_tables!$A$101:$C$123,3,FALSE)&amp;"|"&amp;VLOOKUP(Nutrients_from_current_land_use!$B$6,Value_look_up_tables!$A$131:$B$136,2,FALSE)))),Value_look_up_tables!$F$16:$H$97,2,FALSE))</f>
        <v/>
      </c>
      <c r="D18" s="36" t="str">
        <f>IF(OR(ISBLANK(A18),ISBLANK(B18)),"",B18*VLOOKUP((IF(OR(A18="Residential urban land",A18="Commercial/industrial urban land",A18="Open urban land",A18="Greenspace",A18="Community food growing",A18="Woodland",A18="Shrub", A18="Water"), "|||"&amp;A18, (VLOOKUP(Nutrients_from_current_land_use!$B$5,Value_look_up_tables!$A$127:$B$127,2,FALSE)&amp;"|"&amp;A18&amp;"|"&amp;VLOOKUP(Nutrients_from_current_land_use!$C$8,Value_look_up_tables!$A$140:$B$141,2,FALSE)&amp;"|"&amp;VLOOKUP(Nutrients_from_current_land_use!$C$7,Value_look_up_tables!$A$101:$C$123,3,FALSE)&amp;"|"&amp;VLOOKUP(Nutrients_from_current_land_use!$B$6,Value_look_up_tables!$A$131:$B$136,2,FALSE)))),Value_look_up_tables!$F$16:$H$97,3,FALSE))</f>
        <v/>
      </c>
    </row>
    <row r="19" spans="1:6" ht="23.25" customHeight="1" x14ac:dyDescent="0.2">
      <c r="A19" s="1"/>
      <c r="B19" s="16"/>
      <c r="C19" s="36" t="str">
        <f>IF(OR(ISBLANK(A19),ISBLANK(B19)),"",B19*VLOOKUP((IF(OR(A19="Residential urban land",A19="Commercial/industrial urban land",A19="Open urban land",A19="Greenspace",A19="Community food growing",A19="Woodland",A19="Shrub", A19="Water"), "|||"&amp;A19, (VLOOKUP(Nutrients_from_current_land_use!$B$5,Value_look_up_tables!$A$127:$B$127,2,FALSE)&amp;"|"&amp;A19&amp;"|"&amp;VLOOKUP(Nutrients_from_current_land_use!$C$8,Value_look_up_tables!$A$140:$B$141,2,FALSE)&amp;"|"&amp;VLOOKUP(Nutrients_from_current_land_use!$C$7,Value_look_up_tables!$A$101:$C$123,3,FALSE)&amp;"|"&amp;VLOOKUP(Nutrients_from_current_land_use!$B$6,Value_look_up_tables!$A$131:$B$136,2,FALSE)))),Value_look_up_tables!$F$16:$H$97,2,FALSE))</f>
        <v/>
      </c>
      <c r="D19" s="36" t="str">
        <f>IF(OR(ISBLANK(A19),ISBLANK(B19)),"",B19*VLOOKUP((IF(OR(A19="Residential urban land",A19="Commercial/industrial urban land",A19="Open urban land",A19="Greenspace",A19="Community food growing",A19="Woodland",A19="Shrub", A19="Water"), "|||"&amp;A19, (VLOOKUP(Nutrients_from_current_land_use!$B$5,Value_look_up_tables!$A$127:$B$127,2,FALSE)&amp;"|"&amp;A19&amp;"|"&amp;VLOOKUP(Nutrients_from_current_land_use!$C$8,Value_look_up_tables!$A$140:$B$141,2,FALSE)&amp;"|"&amp;VLOOKUP(Nutrients_from_current_land_use!$C$7,Value_look_up_tables!$A$101:$C$123,3,FALSE)&amp;"|"&amp;VLOOKUP(Nutrients_from_current_land_use!$B$6,Value_look_up_tables!$A$131:$B$136,2,FALSE)))),Value_look_up_tables!$F$16:$H$97,3,FALSE))</f>
        <v/>
      </c>
    </row>
    <row r="20" spans="1:6" ht="23.25" customHeight="1" x14ac:dyDescent="0.25">
      <c r="A20" s="1"/>
      <c r="B20" s="16"/>
      <c r="C20" s="36" t="str">
        <f>IF(OR(ISBLANK(A20),ISBLANK(B20)),"",B20*VLOOKUP((IF(OR(A20="Residential urban land",A20="Commercial/industrial urban land",A20="Open urban land",A20="Greenspace",A20="Community food growing",A20="Woodland",A20="Shrub", A20="Water"), "|||"&amp;A20, (VLOOKUP(Nutrients_from_current_land_use!$B$5,Value_look_up_tables!$A$127:$B$127,2,FALSE)&amp;"|"&amp;A20&amp;"|"&amp;VLOOKUP(Nutrients_from_current_land_use!$C$8,Value_look_up_tables!$A$140:$B$141,2,FALSE)&amp;"|"&amp;VLOOKUP(Nutrients_from_current_land_use!$C$7,Value_look_up_tables!$A$101:$C$123,3,FALSE)&amp;"|"&amp;VLOOKUP(Nutrients_from_current_land_use!$B$6,Value_look_up_tables!$A$131:$B$136,2,FALSE)))),Value_look_up_tables!$F$16:$H$97,2,FALSE))</f>
        <v/>
      </c>
      <c r="D20" s="36" t="str">
        <f>IF(OR(ISBLANK(A20),ISBLANK(B20)),"",B20*VLOOKUP((IF(OR(A20="Residential urban land",A20="Commercial/industrial urban land",A20="Open urban land",A20="Greenspace",A20="Community food growing",A20="Woodland",A20="Shrub", A20="Water"), "|||"&amp;A20, (VLOOKUP(Nutrients_from_current_land_use!$B$5,Value_look_up_tables!$A$127:$B$127,2,FALSE)&amp;"|"&amp;A20&amp;"|"&amp;VLOOKUP(Nutrients_from_current_land_use!$C$8,Value_look_up_tables!$A$140:$B$141,2,FALSE)&amp;"|"&amp;VLOOKUP(Nutrients_from_current_land_use!$C$7,Value_look_up_tables!$A$101:$C$123,3,FALSE)&amp;"|"&amp;VLOOKUP(Nutrients_from_current_land_use!$B$6,Value_look_up_tables!$A$131:$B$136,2,FALSE)))),Value_look_up_tables!$F$16:$H$97,3,FALSE))</f>
        <v/>
      </c>
      <c r="F20" s="106"/>
    </row>
    <row r="21" spans="1:6" ht="23.25" customHeight="1" x14ac:dyDescent="0.2">
      <c r="A21" s="1"/>
      <c r="B21" s="16"/>
      <c r="C21" s="36" t="str">
        <f>IF(OR(ISBLANK(A21),ISBLANK(B21)),"",B21*VLOOKUP((IF(OR(A21="Residential urban land",A21="Commercial/industrial urban land",A21="Open urban land",A21="Greenspace",A21="Community food growing",A21="Woodland",A21="Shrub", A21="Water"), "|||"&amp;A21, (VLOOKUP(Nutrients_from_current_land_use!$B$5,Value_look_up_tables!$A$127:$B$127,2,FALSE)&amp;"|"&amp;A21&amp;"|"&amp;VLOOKUP(Nutrients_from_current_land_use!$C$8,Value_look_up_tables!$A$140:$B$141,2,FALSE)&amp;"|"&amp;VLOOKUP(Nutrients_from_current_land_use!$C$7,Value_look_up_tables!$A$101:$C$123,3,FALSE)&amp;"|"&amp;VLOOKUP(Nutrients_from_current_land_use!$B$6,Value_look_up_tables!$A$131:$B$136,2,FALSE)))),Value_look_up_tables!$F$16:$H$97,2,FALSE))</f>
        <v/>
      </c>
      <c r="D21" s="36" t="str">
        <f>IF(OR(ISBLANK(A21),ISBLANK(B21)),"",B21*VLOOKUP((IF(OR(A21="Residential urban land",A21="Commercial/industrial urban land",A21="Open urban land",A21="Greenspace",A21="Community food growing",A21="Woodland",A21="Shrub", A21="Water"), "|||"&amp;A21, (VLOOKUP(Nutrients_from_current_land_use!$B$5,Value_look_up_tables!$A$127:$B$127,2,FALSE)&amp;"|"&amp;A21&amp;"|"&amp;VLOOKUP(Nutrients_from_current_land_use!$C$8,Value_look_up_tables!$A$140:$B$141,2,FALSE)&amp;"|"&amp;VLOOKUP(Nutrients_from_current_land_use!$C$7,Value_look_up_tables!$A$101:$C$123,3,FALSE)&amp;"|"&amp;VLOOKUP(Nutrients_from_current_land_use!$B$6,Value_look_up_tables!$A$131:$B$136,2,FALSE)))),Value_look_up_tables!$F$16:$H$97,3,FALSE))</f>
        <v/>
      </c>
    </row>
    <row r="22" spans="1:6" ht="23.25" customHeight="1" x14ac:dyDescent="0.2">
      <c r="A22" s="11" t="s">
        <v>206</v>
      </c>
      <c r="B22" s="39">
        <f>SUM(B5:B21)</f>
        <v>0</v>
      </c>
      <c r="C22" s="36">
        <f>SUM(C5:C21)</f>
        <v>0</v>
      </c>
      <c r="D22" s="36">
        <f>SUM(D5:D21)</f>
        <v>0</v>
      </c>
    </row>
  </sheetData>
  <sheetProtection algorithmName="SHA-512" hashValue="v0da/zBr1WxJDpjnvvrG3B3A5JEfqEJLU3xC8dvEj6OjSBTOs6AKRCGEXTV+eg+C99tm1+G3XLrA8nrkDK0mcw==" saltValue="3nbIppIsUtVQe3v3glSaeg==" spinCount="100000" sheet="1" objects="1" scenarios="1"/>
  <protectedRanges>
    <protectedRange algorithmName="SHA-512" hashValue="MvmTLotpKiuRnedI3A4NjKJPVt4Aw8hcOvmE+D0rBMjM9TiU4ekXkprnHN0k9oVg0inb+CLcUsLFrJxBFcC6uw==" saltValue="93Zg0snhziumGVhjlXa2zg==" spinCount="100000" sqref="A5:B21" name="Range1"/>
  </protectedRanges>
  <dataValidations xWindow="214" yWindow="437" count="1">
    <dataValidation type="decimal" operator="greaterThanOrEqual" allowBlank="1" showErrorMessage="1" prompt="Please enter area in hectares." sqref="B5:B21" xr:uid="{F230AB9C-8339-4373-B4B8-7B45A3D33AEE}">
      <formula1>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xWindow="214" yWindow="437" count="1">
        <x14:dataValidation type="list" allowBlank="1" showErrorMessage="1" errorTitle="Landcover" error="Please select all pre exisitng landcover types." prompt="Select post-development land use types from the drop down list." xr:uid="{1AF01F13-11D5-4733-B94A-D50AFED257B9}">
          <x14:formula1>
            <xm:f>Value_look_up_tables!$A$154:$A$161</xm:f>
          </x14:formula1>
          <xm:sqref>A5:A21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22A8-789E-4C71-B605-806538F98D8D}">
  <dimension ref="A1:N29"/>
  <sheetViews>
    <sheetView zoomScaleNormal="100" workbookViewId="0"/>
  </sheetViews>
  <sheetFormatPr defaultColWidth="9.140625" defaultRowHeight="15" x14ac:dyDescent="0.25"/>
  <cols>
    <col min="1" max="1" width="134.42578125" style="3" customWidth="1"/>
    <col min="2" max="3" width="19.85546875" style="3" customWidth="1"/>
    <col min="4" max="4" width="24.85546875" style="3" customWidth="1"/>
    <col min="5" max="5" width="19.5703125" style="3" customWidth="1"/>
    <col min="6" max="6" width="60.85546875" style="3" customWidth="1"/>
    <col min="7" max="7" width="21.85546875" style="3" customWidth="1"/>
    <col min="8" max="8" width="23" style="3" customWidth="1"/>
    <col min="9" max="10" width="23.7109375" style="3" customWidth="1"/>
    <col min="11" max="11" width="50.7109375" style="3" customWidth="1"/>
    <col min="12" max="474" width="8.5703125" style="3" customWidth="1"/>
    <col min="475" max="16384" width="9.140625" style="3"/>
  </cols>
  <sheetData>
    <row r="1" spans="1:14" ht="67.5" customHeight="1" x14ac:dyDescent="0.25">
      <c r="A1" s="15" t="s">
        <v>155</v>
      </c>
      <c r="B1" s="107"/>
      <c r="C1" s="107"/>
      <c r="D1" s="107"/>
      <c r="E1" s="107"/>
    </row>
    <row r="2" spans="1:14" ht="409.6" customHeight="1" x14ac:dyDescent="0.25">
      <c r="A2" s="2" t="s">
        <v>250</v>
      </c>
      <c r="B2" s="21"/>
      <c r="C2" s="21"/>
      <c r="D2" s="21"/>
      <c r="E2" s="21"/>
    </row>
    <row r="3" spans="1:14" ht="97.5" customHeight="1" x14ac:dyDescent="0.25">
      <c r="A3" s="74" t="s">
        <v>204</v>
      </c>
      <c r="B3" s="74" t="s">
        <v>205</v>
      </c>
      <c r="C3" s="74" t="s">
        <v>216</v>
      </c>
      <c r="D3" s="74" t="s">
        <v>207</v>
      </c>
      <c r="E3" s="74" t="s">
        <v>208</v>
      </c>
      <c r="F3" s="74" t="s">
        <v>209</v>
      </c>
      <c r="G3" s="74" t="s">
        <v>187</v>
      </c>
      <c r="H3" s="74" t="s">
        <v>188</v>
      </c>
      <c r="I3" s="74" t="s">
        <v>211</v>
      </c>
      <c r="J3" s="74" t="s">
        <v>210</v>
      </c>
      <c r="K3" s="78" t="s">
        <v>184</v>
      </c>
    </row>
    <row r="4" spans="1:14" ht="28.5" customHeight="1" x14ac:dyDescent="0.25">
      <c r="A4" s="79"/>
      <c r="B4" s="17"/>
      <c r="C4" s="75"/>
      <c r="D4" s="38" t="str">
        <f>IFERROR(IF(ISBLANK(A4),"",IF(ISBLANK(B4),"",VLOOKUP(A4,Nutrients_from_future_land_use!$A$5:$D$21,3,FALSE)*(B4/VLOOKUP(A4,Nutrients_from_future_land_use!$A$5:$D$21,2,FALSE)))),"")</f>
        <v/>
      </c>
      <c r="E4" s="38" t="str">
        <f>IFERROR(IF(ISBLANK(A4),"",IF(ISBLANK(B4),"",VLOOKUP(A4,Nutrients_from_future_land_use!$A$5:$D$21,4,FALSE)*(B4/VLOOKUP(A4,Nutrients_from_future_land_use!$A$5:$D$21,2,FALSE)))),"")</f>
        <v/>
      </c>
      <c r="F4" s="75"/>
      <c r="G4" s="75">
        <v>50</v>
      </c>
      <c r="H4" s="75">
        <v>50</v>
      </c>
      <c r="I4" s="38" t="str">
        <f>IFERROR(IF(OR(ISBLANK($A4),ISBLANK($B4),ISBLANK($G4)),"",$C4/100*D4*G4/100),"")</f>
        <v/>
      </c>
      <c r="J4" s="38" t="str">
        <f>IFERROR(IF(OR(ISBLANK($A4),ISBLANK($B4),ISBLANK($H4)),"",$C4/100*E4*H4/100),"")</f>
        <v/>
      </c>
      <c r="K4" s="3" t="str">
        <f>IF(SUMIFS($B$4:$B$28,$A$4:$A$28,A4)&gt;SUMIFS(Nutrients_from_future_land_use!$B$5:$B$21,Nutrients_from_future_land_use!$A$5:$A$21,A4),"Area of new land covers within SuDS catchment area exceeds the area of new land covers proposed","")</f>
        <v/>
      </c>
    </row>
    <row r="5" spans="1:14" ht="28.5" customHeight="1" x14ac:dyDescent="0.25">
      <c r="A5" s="80"/>
      <c r="B5" s="16"/>
      <c r="C5" s="75"/>
      <c r="D5" s="38" t="str">
        <f>IFERROR(IF(ISBLANK(A5),"",IF(ISBLANK(B5),"",VLOOKUP(A5,Nutrients_from_future_land_use!$A$5:$D$21,3,FALSE)*(B5/VLOOKUP(A5,Nutrients_from_future_land_use!$A$5:$D$21,2,FALSE)))),"")</f>
        <v/>
      </c>
      <c r="E5" s="38" t="str">
        <f>IFERROR(IF(ISBLANK(A5),"",IF(ISBLANK(B5),"",VLOOKUP(A5,Nutrients_from_future_land_use!$A$5:$D$21,4,FALSE)*(B5/VLOOKUP(A5,Nutrients_from_future_land_use!$A$5:$D$21,2,FALSE)))),"")</f>
        <v/>
      </c>
      <c r="F5" s="75"/>
      <c r="G5" s="75"/>
      <c r="H5" s="75"/>
      <c r="I5" s="38" t="str">
        <f t="shared" ref="I5:I28" si="0">IFERROR(IF(OR(ISBLANK($A5),ISBLANK($B5),ISBLANK($G5)),"",$C5/100*D5*G5/100),"")</f>
        <v/>
      </c>
      <c r="J5" s="38" t="str">
        <f t="shared" ref="J5:J28" si="1">IFERROR(IF(OR(ISBLANK($A5),ISBLANK($B5),ISBLANK($H5)),"",$C5/100*E5*H5/100),"")</f>
        <v/>
      </c>
      <c r="K5" s="3" t="str">
        <f>IF(SUMIFS($B$4:$B$28,$A$4:$A$28,A5)&gt;SUMIFS(Nutrients_from_future_land_use!$B$5:$B$21,Nutrients_from_future_land_use!$A$5:$A$21,A5),"Area of new land covers within SuDS catchment area exceeds the area of new land covers proposed","")</f>
        <v/>
      </c>
    </row>
    <row r="6" spans="1:14" ht="28.5" customHeight="1" x14ac:dyDescent="0.25">
      <c r="A6" s="80"/>
      <c r="B6" s="16"/>
      <c r="C6" s="75"/>
      <c r="D6" s="38" t="str">
        <f>IFERROR(IF(ISBLANK(A6),"",IF(ISBLANK(B6),"",VLOOKUP(A6,Nutrients_from_future_land_use!$A$5:$D$21,3,FALSE)*(B6/VLOOKUP(A6,Nutrients_from_future_land_use!$A$5:$D$21,2,FALSE)))),"")</f>
        <v/>
      </c>
      <c r="E6" s="38" t="str">
        <f>IFERROR(IF(ISBLANK(A6),"",IF(ISBLANK(B6),"",VLOOKUP(A6,Nutrients_from_future_land_use!$A$5:$D$21,4,FALSE)*(B6/VLOOKUP(A6,Nutrients_from_future_land_use!$A$5:$D$21,2,FALSE)))),"")</f>
        <v/>
      </c>
      <c r="F6" s="75"/>
      <c r="G6" s="75"/>
      <c r="H6" s="75"/>
      <c r="I6" s="38" t="str">
        <f t="shared" si="0"/>
        <v/>
      </c>
      <c r="J6" s="38" t="str">
        <f t="shared" si="1"/>
        <v/>
      </c>
      <c r="K6" s="3" t="str">
        <f>IF(SUMIFS($B$4:$B$28,$A$4:$A$28,A6)&gt;SUMIFS(Nutrients_from_future_land_use!$B$5:$B$21,Nutrients_from_future_land_use!$A$5:$A$21,A6),"Area of new land covers within SuDS catchment area exceeds the area of new land covers proposed","")</f>
        <v/>
      </c>
    </row>
    <row r="7" spans="1:14" ht="28.5" customHeight="1" x14ac:dyDescent="0.25">
      <c r="A7" s="80"/>
      <c r="B7" s="16"/>
      <c r="C7" s="75"/>
      <c r="D7" s="38" t="str">
        <f>IFERROR(IF(ISBLANK(A7),"",IF(ISBLANK(B7),"",VLOOKUP(A7,Nutrients_from_future_land_use!$A$5:$D$21,3,FALSE)*(B7/VLOOKUP(A7,Nutrients_from_future_land_use!$A$5:$D$21,2,FALSE)))),"")</f>
        <v/>
      </c>
      <c r="E7" s="38" t="str">
        <f>IFERROR(IF(ISBLANK(A7),"",IF(ISBLANK(B7),"",VLOOKUP(A7,Nutrients_from_future_land_use!$A$5:$D$21,4,FALSE)*(B7/VLOOKUP(A7,Nutrients_from_future_land_use!$A$5:$D$21,2,FALSE)))),"")</f>
        <v/>
      </c>
      <c r="F7" s="75"/>
      <c r="G7" s="75"/>
      <c r="H7" s="75"/>
      <c r="I7" s="38" t="str">
        <f t="shared" si="0"/>
        <v/>
      </c>
      <c r="J7" s="38" t="str">
        <f t="shared" si="1"/>
        <v/>
      </c>
      <c r="K7" s="3" t="str">
        <f>IF(SUMIFS($B$4:$B$28,$A$4:$A$28,A7)&gt;SUMIFS(Nutrients_from_future_land_use!$B$5:$B$21,Nutrients_from_future_land_use!$A$5:$A$21,A7),"Area of new land covers within SuDS catchment area exceeds the area of new land covers proposed","")</f>
        <v/>
      </c>
    </row>
    <row r="8" spans="1:14" ht="28.5" customHeight="1" x14ac:dyDescent="0.25">
      <c r="A8" s="80"/>
      <c r="B8" s="16"/>
      <c r="C8" s="75"/>
      <c r="D8" s="38" t="str">
        <f>IFERROR(IF(ISBLANK(A8),"",IF(ISBLANK(B8),"",VLOOKUP(A8,Nutrients_from_future_land_use!$A$5:$D$21,3,FALSE)*(B8/VLOOKUP(A8,Nutrients_from_future_land_use!$A$5:$D$21,2,FALSE)))),"")</f>
        <v/>
      </c>
      <c r="E8" s="38" t="str">
        <f>IFERROR(IF(ISBLANK(A8),"",IF(ISBLANK(B8),"",VLOOKUP(A8,Nutrients_from_future_land_use!$A$5:$D$21,4,FALSE)*(B8/VLOOKUP(A8,Nutrients_from_future_land_use!$A$5:$D$21,2,FALSE)))),"")</f>
        <v/>
      </c>
      <c r="F8" s="75"/>
      <c r="G8" s="75"/>
      <c r="H8" s="75"/>
      <c r="I8" s="38" t="str">
        <f t="shared" si="0"/>
        <v/>
      </c>
      <c r="J8" s="38" t="str">
        <f t="shared" si="1"/>
        <v/>
      </c>
      <c r="K8" s="3" t="str">
        <f>IF(SUMIFS($B$4:$B$28,$A$4:$A$28,A8)&gt;SUMIFS(Nutrients_from_future_land_use!$B$5:$B$21,Nutrients_from_future_land_use!$A$5:$A$21,A8),"Area of new land covers within SuDS catchment area exceeds the area of new land covers proposed","")</f>
        <v/>
      </c>
      <c r="N8" s="108"/>
    </row>
    <row r="9" spans="1:14" ht="28.5" customHeight="1" x14ac:dyDescent="0.25">
      <c r="A9" s="80"/>
      <c r="B9" s="16"/>
      <c r="C9" s="75"/>
      <c r="D9" s="38" t="str">
        <f>IFERROR(IF(ISBLANK(A9),"",IF(ISBLANK(B9),"",VLOOKUP(A9,Nutrients_from_future_land_use!$A$5:$D$21,3,FALSE)*(B9/VLOOKUP(A9,Nutrients_from_future_land_use!$A$5:$D$21,2,FALSE)))),"")</f>
        <v/>
      </c>
      <c r="E9" s="38" t="str">
        <f>IFERROR(IF(ISBLANK(A9),"",IF(ISBLANK(B9),"",VLOOKUP(A9,Nutrients_from_future_land_use!$A$5:$D$21,4,FALSE)*(B9/VLOOKUP(A9,Nutrients_from_future_land_use!$A$5:$D$21,2,FALSE)))),"")</f>
        <v/>
      </c>
      <c r="F9" s="75"/>
      <c r="G9" s="75"/>
      <c r="H9" s="75"/>
      <c r="I9" s="38" t="str">
        <f t="shared" si="0"/>
        <v/>
      </c>
      <c r="J9" s="38" t="str">
        <f t="shared" si="1"/>
        <v/>
      </c>
      <c r="K9" s="3" t="str">
        <f>IF(SUMIFS($B$4:$B$28,$A$4:$A$28,A9)&gt;SUMIFS(Nutrients_from_future_land_use!$B$5:$B$21,Nutrients_from_future_land_use!$A$5:$A$21,A9),"Area of new land covers within SuDS catchment area exceeds the area of new land covers proposed","")</f>
        <v/>
      </c>
      <c r="N9" s="108"/>
    </row>
    <row r="10" spans="1:14" ht="28.5" customHeight="1" x14ac:dyDescent="0.25">
      <c r="A10" s="80"/>
      <c r="B10" s="16"/>
      <c r="C10" s="75"/>
      <c r="D10" s="38" t="str">
        <f>IFERROR(IF(ISBLANK(A10),"",IF(ISBLANK(B10),"",VLOOKUP(A10,Nutrients_from_future_land_use!$A$5:$D$21,3,FALSE)*(B10/VLOOKUP(A10,Nutrients_from_future_land_use!$A$5:$D$21,2,FALSE)))),"")</f>
        <v/>
      </c>
      <c r="E10" s="38" t="str">
        <f>IFERROR(IF(ISBLANK(A10),"",IF(ISBLANK(B10),"",VLOOKUP(A10,Nutrients_from_future_land_use!$A$5:$D$21,4,FALSE)*(B10/VLOOKUP(A10,Nutrients_from_future_land_use!$A$5:$D$21,2,FALSE)))),"")</f>
        <v/>
      </c>
      <c r="F10" s="75"/>
      <c r="G10" s="75"/>
      <c r="H10" s="75"/>
      <c r="I10" s="38" t="str">
        <f t="shared" si="0"/>
        <v/>
      </c>
      <c r="J10" s="38" t="str">
        <f t="shared" si="1"/>
        <v/>
      </c>
      <c r="K10" s="3" t="str">
        <f>IF(SUMIFS($B$4:$B$28,$A$4:$A$28,A10)&gt;SUMIFS(Nutrients_from_future_land_use!$B$5:$B$21,Nutrients_from_future_land_use!$A$5:$A$21,A10),"Area of new land covers within SuDS catchment area exceeds the area of new land covers proposed","")</f>
        <v/>
      </c>
      <c r="N10" s="108"/>
    </row>
    <row r="11" spans="1:14" ht="28.5" customHeight="1" x14ac:dyDescent="0.25">
      <c r="A11" s="80"/>
      <c r="B11" s="16"/>
      <c r="C11" s="75"/>
      <c r="D11" s="38" t="str">
        <f>IFERROR(IF(ISBLANK(A11),"",IF(ISBLANK(B11),"",VLOOKUP(A11,Nutrients_from_future_land_use!$A$5:$D$21,3,FALSE)*(B11/VLOOKUP(A11,Nutrients_from_future_land_use!$A$5:$D$21,2,FALSE)))),"")</f>
        <v/>
      </c>
      <c r="E11" s="38" t="str">
        <f>IFERROR(IF(ISBLANK(A11),"",IF(ISBLANK(B11),"",VLOOKUP(A11,Nutrients_from_future_land_use!$A$5:$D$21,4,FALSE)*(B11/VLOOKUP(A11,Nutrients_from_future_land_use!$A$5:$D$21,2,FALSE)))),"")</f>
        <v/>
      </c>
      <c r="F11" s="75"/>
      <c r="G11" s="75"/>
      <c r="H11" s="75"/>
      <c r="I11" s="38" t="str">
        <f t="shared" si="0"/>
        <v/>
      </c>
      <c r="J11" s="38" t="str">
        <f t="shared" si="1"/>
        <v/>
      </c>
      <c r="K11" s="3" t="str">
        <f>IF(SUMIFS($B$4:$B$28,$A$4:$A$28,A11)&gt;SUMIFS(Nutrients_from_future_land_use!$B$5:$B$21,Nutrients_from_future_land_use!$A$5:$A$21,A11),"Area of new land covers within SuDS catchment area exceeds the area of new land covers proposed","")</f>
        <v/>
      </c>
      <c r="N11" s="108"/>
    </row>
    <row r="12" spans="1:14" ht="28.5" customHeight="1" x14ac:dyDescent="0.25">
      <c r="A12" s="80"/>
      <c r="B12" s="16"/>
      <c r="C12" s="75"/>
      <c r="D12" s="38" t="str">
        <f>IFERROR(IF(ISBLANK(A12),"",IF(ISBLANK(B12),"",VLOOKUP(A12,Nutrients_from_future_land_use!$A$5:$D$21,3,FALSE)*(B12/VLOOKUP(A12,Nutrients_from_future_land_use!$A$5:$D$21,2,FALSE)))),"")</f>
        <v/>
      </c>
      <c r="E12" s="38" t="str">
        <f>IFERROR(IF(ISBLANK(A12),"",IF(ISBLANK(B12),"",VLOOKUP(A12,Nutrients_from_future_land_use!$A$5:$D$21,4,FALSE)*(B12/VLOOKUP(A12,Nutrients_from_future_land_use!$A$5:$D$21,2,FALSE)))),"")</f>
        <v/>
      </c>
      <c r="F12" s="75"/>
      <c r="G12" s="75"/>
      <c r="H12" s="75"/>
      <c r="I12" s="38" t="str">
        <f t="shared" si="0"/>
        <v/>
      </c>
      <c r="J12" s="38" t="str">
        <f t="shared" si="1"/>
        <v/>
      </c>
      <c r="K12" s="3" t="str">
        <f>IF(SUMIFS($B$4:$B$28,$A$4:$A$28,A12)&gt;SUMIFS(Nutrients_from_future_land_use!$B$5:$B$21,Nutrients_from_future_land_use!$A$5:$A$21,A12),"Area of new land covers within SuDS catchment area exceeds the area of new land covers proposed","")</f>
        <v/>
      </c>
      <c r="N12" s="108"/>
    </row>
    <row r="13" spans="1:14" ht="28.5" customHeight="1" x14ac:dyDescent="0.25">
      <c r="A13" s="80"/>
      <c r="B13" s="16"/>
      <c r="C13" s="75"/>
      <c r="D13" s="38" t="str">
        <f>IFERROR(IF(ISBLANK(A13),"",IF(ISBLANK(B13),"",VLOOKUP(A13,Nutrients_from_future_land_use!$A$5:$D$21,3,FALSE)*(B13/VLOOKUP(A13,Nutrients_from_future_land_use!$A$5:$D$21,2,FALSE)))),"")</f>
        <v/>
      </c>
      <c r="E13" s="38" t="str">
        <f>IFERROR(IF(ISBLANK(A13),"",IF(ISBLANK(B13),"",VLOOKUP(A13,Nutrients_from_future_land_use!$A$5:$D$21,4,FALSE)*(B13/VLOOKUP(A13,Nutrients_from_future_land_use!$A$5:$D$21,2,FALSE)))),"")</f>
        <v/>
      </c>
      <c r="F13" s="75"/>
      <c r="G13" s="75"/>
      <c r="H13" s="75"/>
      <c r="I13" s="38" t="str">
        <f t="shared" si="0"/>
        <v/>
      </c>
      <c r="J13" s="38" t="str">
        <f t="shared" si="1"/>
        <v/>
      </c>
      <c r="K13" s="3" t="str">
        <f>IF(SUMIFS($B$4:$B$28,$A$4:$A$28,A13)&gt;SUMIFS(Nutrients_from_future_land_use!$B$5:$B$21,Nutrients_from_future_land_use!$A$5:$A$21,A13),"Area of new land covers within SuDS catchment area exceeds the area of new land covers proposed","")</f>
        <v/>
      </c>
      <c r="N13" s="108"/>
    </row>
    <row r="14" spans="1:14" ht="28.5" customHeight="1" x14ac:dyDescent="0.25">
      <c r="A14" s="80"/>
      <c r="B14" s="16"/>
      <c r="C14" s="75"/>
      <c r="D14" s="38" t="str">
        <f>IFERROR(IF(ISBLANK(A14),"",IF(ISBLANK(B14),"",VLOOKUP(A14,Nutrients_from_future_land_use!$A$5:$D$21,3,FALSE)*(B14/VLOOKUP(A14,Nutrients_from_future_land_use!$A$5:$D$21,2,FALSE)))),"")</f>
        <v/>
      </c>
      <c r="E14" s="38" t="str">
        <f>IFERROR(IF(ISBLANK(A14),"",IF(ISBLANK(B14),"",VLOOKUP(A14,Nutrients_from_future_land_use!$A$5:$D$21,4,FALSE)*(B14/VLOOKUP(A14,Nutrients_from_future_land_use!$A$5:$D$21,2,FALSE)))),"")</f>
        <v/>
      </c>
      <c r="F14" s="75"/>
      <c r="G14" s="75"/>
      <c r="H14" s="75"/>
      <c r="I14" s="38" t="str">
        <f t="shared" si="0"/>
        <v/>
      </c>
      <c r="J14" s="38" t="str">
        <f t="shared" si="1"/>
        <v/>
      </c>
      <c r="K14" s="3" t="str">
        <f>IF(SUMIFS($B$4:$B$28,$A$4:$A$28,A14)&gt;SUMIFS(Nutrients_from_future_land_use!$B$5:$B$21,Nutrients_from_future_land_use!$A$5:$A$21,A14),"Area of new land covers within SuDS catchment area exceeds the area of new land covers proposed","")</f>
        <v/>
      </c>
    </row>
    <row r="15" spans="1:14" ht="28.5" customHeight="1" x14ac:dyDescent="0.25">
      <c r="A15" s="80"/>
      <c r="B15" s="16"/>
      <c r="C15" s="75"/>
      <c r="D15" s="38" t="str">
        <f>IFERROR(IF(ISBLANK(A15),"",IF(ISBLANK(B15),"",VLOOKUP(A15,Nutrients_from_future_land_use!$A$5:$D$21,3,FALSE)*(B15/VLOOKUP(A15,Nutrients_from_future_land_use!$A$5:$D$21,2,FALSE)))),"")</f>
        <v/>
      </c>
      <c r="E15" s="38" t="str">
        <f>IFERROR(IF(ISBLANK(A15),"",IF(ISBLANK(B15),"",VLOOKUP(A15,Nutrients_from_future_land_use!$A$5:$D$21,4,FALSE)*(B15/VLOOKUP(A15,Nutrients_from_future_land_use!$A$5:$D$21,2,FALSE)))),"")</f>
        <v/>
      </c>
      <c r="F15" s="75"/>
      <c r="G15" s="75"/>
      <c r="H15" s="75"/>
      <c r="I15" s="38" t="str">
        <f t="shared" si="0"/>
        <v/>
      </c>
      <c r="J15" s="38" t="str">
        <f t="shared" si="1"/>
        <v/>
      </c>
      <c r="K15" s="3" t="str">
        <f>IF(SUMIFS($B$4:$B$28,$A$4:$A$28,A15)&gt;SUMIFS(Nutrients_from_future_land_use!$B$5:$B$21,Nutrients_from_future_land_use!$A$5:$A$21,A15),"Area of new land covers within SuDS catchment area exceeds the area of new land covers proposed","")</f>
        <v/>
      </c>
    </row>
    <row r="16" spans="1:14" ht="28.5" customHeight="1" x14ac:dyDescent="0.25">
      <c r="A16" s="80"/>
      <c r="B16" s="16"/>
      <c r="C16" s="75"/>
      <c r="D16" s="38" t="str">
        <f>IFERROR(IF(ISBLANK(A16),"",IF(ISBLANK(B16),"",VLOOKUP(A16,Nutrients_from_future_land_use!$A$5:$D$21,3,FALSE)*(B16/VLOOKUP(A16,Nutrients_from_future_land_use!$A$5:$D$21,2,FALSE)))),"")</f>
        <v/>
      </c>
      <c r="E16" s="38" t="str">
        <f>IFERROR(IF(ISBLANK(A16),"",IF(ISBLANK(B16),"",VLOOKUP(A16,Nutrients_from_future_land_use!$A$5:$D$21,4,FALSE)*(B16/VLOOKUP(A16,Nutrients_from_future_land_use!$A$5:$D$21,2,FALSE)))),"")</f>
        <v/>
      </c>
      <c r="F16" s="75"/>
      <c r="G16" s="75"/>
      <c r="H16" s="75"/>
      <c r="I16" s="38" t="str">
        <f t="shared" si="0"/>
        <v/>
      </c>
      <c r="J16" s="38" t="str">
        <f t="shared" si="1"/>
        <v/>
      </c>
      <c r="K16" s="3" t="str">
        <f>IF(SUMIFS($B$4:$B$28,$A$4:$A$28,A16)&gt;SUMIFS(Nutrients_from_future_land_use!$B$5:$B$21,Nutrients_from_future_land_use!$A$5:$A$21,A16),"Area of new land covers within SuDS catchment area exceeds the area of new land covers proposed","")</f>
        <v/>
      </c>
    </row>
    <row r="17" spans="1:11" ht="28.5" customHeight="1" x14ac:dyDescent="0.25">
      <c r="A17" s="80"/>
      <c r="B17" s="16"/>
      <c r="C17" s="75"/>
      <c r="D17" s="38" t="str">
        <f>IFERROR(IF(ISBLANK(A17),"",IF(ISBLANK(B17),"",VLOOKUP(A17,Nutrients_from_future_land_use!$A$5:$D$21,3,FALSE)*(B17/VLOOKUP(A17,Nutrients_from_future_land_use!$A$5:$D$21,2,FALSE)))),"")</f>
        <v/>
      </c>
      <c r="E17" s="38" t="str">
        <f>IFERROR(IF(ISBLANK(A17),"",IF(ISBLANK(B17),"",VLOOKUP(A17,Nutrients_from_future_land_use!$A$5:$D$21,4,FALSE)*(B17/VLOOKUP(A17,Nutrients_from_future_land_use!$A$5:$D$21,2,FALSE)))),"")</f>
        <v/>
      </c>
      <c r="F17" s="75"/>
      <c r="G17" s="75"/>
      <c r="H17" s="75"/>
      <c r="I17" s="38" t="str">
        <f t="shared" si="0"/>
        <v/>
      </c>
      <c r="J17" s="38" t="str">
        <f t="shared" si="1"/>
        <v/>
      </c>
      <c r="K17" s="3" t="str">
        <f>IF(SUMIFS($B$4:$B$28,$A$4:$A$28,A17)&gt;SUMIFS(Nutrients_from_future_land_use!$B$5:$B$21,Nutrients_from_future_land_use!$A$5:$A$21,A17),"Area of new land covers within SuDS catchment area exceeds the area of new land covers proposed","")</f>
        <v/>
      </c>
    </row>
    <row r="18" spans="1:11" ht="28.5" customHeight="1" x14ac:dyDescent="0.25">
      <c r="A18" s="80"/>
      <c r="B18" s="16"/>
      <c r="C18" s="75"/>
      <c r="D18" s="38" t="str">
        <f>IFERROR(IF(ISBLANK(A18),"",IF(ISBLANK(B18),"",VLOOKUP(A18,Nutrients_from_future_land_use!$A$5:$D$21,3,FALSE)*(B18/VLOOKUP(A18,Nutrients_from_future_land_use!$A$5:$D$21,2,FALSE)))),"")</f>
        <v/>
      </c>
      <c r="E18" s="38" t="str">
        <f>IFERROR(IF(ISBLANK(A18),"",IF(ISBLANK(B18),"",VLOOKUP(A18,Nutrients_from_future_land_use!$A$5:$D$21,4,FALSE)*(B18/VLOOKUP(A18,Nutrients_from_future_land_use!$A$5:$D$21,2,FALSE)))),"")</f>
        <v/>
      </c>
      <c r="F18" s="75"/>
      <c r="G18" s="75"/>
      <c r="H18" s="75"/>
      <c r="I18" s="38" t="str">
        <f t="shared" si="0"/>
        <v/>
      </c>
      <c r="J18" s="38" t="str">
        <f t="shared" si="1"/>
        <v/>
      </c>
      <c r="K18" s="3" t="str">
        <f>IF(SUMIFS($B$4:$B$28,$A$4:$A$28,A18)&gt;SUMIFS(Nutrients_from_future_land_use!$B$5:$B$21,Nutrients_from_future_land_use!$A$5:$A$21,A18),"Area of new land covers within SuDS catchment area exceeds the area of new land covers proposed","")</f>
        <v/>
      </c>
    </row>
    <row r="19" spans="1:11" ht="28.5" customHeight="1" x14ac:dyDescent="0.25">
      <c r="A19" s="80"/>
      <c r="B19" s="16"/>
      <c r="C19" s="75"/>
      <c r="D19" s="38" t="str">
        <f>IFERROR(IF(ISBLANK(A19),"",IF(ISBLANK(B19),"",VLOOKUP(A19,Nutrients_from_future_land_use!$A$5:$D$21,3,FALSE)*(B19/VLOOKUP(A19,Nutrients_from_future_land_use!$A$5:$D$21,2,FALSE)))),"")</f>
        <v/>
      </c>
      <c r="E19" s="38" t="str">
        <f>IFERROR(IF(ISBLANK(A19),"",IF(ISBLANK(B19),"",VLOOKUP(A19,Nutrients_from_future_land_use!$A$5:$D$21,4,FALSE)*(B19/VLOOKUP(A19,Nutrients_from_future_land_use!$A$5:$D$21,2,FALSE)))),"")</f>
        <v/>
      </c>
      <c r="F19" s="75"/>
      <c r="G19" s="75"/>
      <c r="H19" s="75"/>
      <c r="I19" s="38" t="str">
        <f t="shared" si="0"/>
        <v/>
      </c>
      <c r="J19" s="38" t="str">
        <f t="shared" si="1"/>
        <v/>
      </c>
      <c r="K19" s="3" t="str">
        <f>IF(SUMIFS($B$4:$B$28,$A$4:$A$28,A19)&gt;SUMIFS(Nutrients_from_future_land_use!$B$5:$B$21,Nutrients_from_future_land_use!$A$5:$A$21,A19),"Area of new land covers within SuDS catchment area exceeds the area of new land covers proposed","")</f>
        <v/>
      </c>
    </row>
    <row r="20" spans="1:11" ht="28.5" customHeight="1" x14ac:dyDescent="0.25">
      <c r="A20" s="80"/>
      <c r="B20" s="16"/>
      <c r="C20" s="75"/>
      <c r="D20" s="38" t="str">
        <f>IFERROR(IF(ISBLANK(A20),"",IF(ISBLANK(B20),"",VLOOKUP(A20,Nutrients_from_future_land_use!$A$5:$D$21,3,FALSE)*(B20/VLOOKUP(A20,Nutrients_from_future_land_use!$A$5:$D$21,2,FALSE)))),"")</f>
        <v/>
      </c>
      <c r="E20" s="38" t="str">
        <f>IFERROR(IF(ISBLANK(A20),"",IF(ISBLANK(B20),"",VLOOKUP(A20,Nutrients_from_future_land_use!$A$5:$D$21,4,FALSE)*(B20/VLOOKUP(A20,Nutrients_from_future_land_use!$A$5:$D$21,2,FALSE)))),"")</f>
        <v/>
      </c>
      <c r="F20" s="75"/>
      <c r="G20" s="75"/>
      <c r="H20" s="75"/>
      <c r="I20" s="38" t="str">
        <f t="shared" si="0"/>
        <v/>
      </c>
      <c r="J20" s="38" t="str">
        <f t="shared" si="1"/>
        <v/>
      </c>
      <c r="K20" s="3" t="str">
        <f>IF(SUMIFS($B$4:$B$28,$A$4:$A$28,A20)&gt;SUMIFS(Nutrients_from_future_land_use!$B$5:$B$21,Nutrients_from_future_land_use!$A$5:$A$21,A20),"Area of new land covers within SuDS catchment area exceeds the area of new land covers proposed","")</f>
        <v/>
      </c>
    </row>
    <row r="21" spans="1:11" ht="28.5" customHeight="1" x14ac:dyDescent="0.25">
      <c r="A21" s="80"/>
      <c r="B21" s="16"/>
      <c r="C21" s="75"/>
      <c r="D21" s="38" t="str">
        <f>IFERROR(IF(ISBLANK(A21),"",IF(ISBLANK(B21),"",VLOOKUP(A21,Nutrients_from_future_land_use!$A$5:$D$21,3,FALSE)*(B21/VLOOKUP(A21,Nutrients_from_future_land_use!$A$5:$D$21,2,FALSE)))),"")</f>
        <v/>
      </c>
      <c r="E21" s="38" t="str">
        <f>IFERROR(IF(ISBLANK(A21),"",IF(ISBLANK(B21),"",VLOOKUP(A21,Nutrients_from_future_land_use!$A$5:$D$21,4,FALSE)*(B21/VLOOKUP(A21,Nutrients_from_future_land_use!$A$5:$D$21,2,FALSE)))),"")</f>
        <v/>
      </c>
      <c r="F21" s="75"/>
      <c r="G21" s="75"/>
      <c r="H21" s="75"/>
      <c r="I21" s="38" t="str">
        <f t="shared" si="0"/>
        <v/>
      </c>
      <c r="J21" s="38" t="str">
        <f t="shared" si="1"/>
        <v/>
      </c>
      <c r="K21" s="3" t="str">
        <f>IF(SUMIFS($B$4:$B$28,$A$4:$A$28,A21)&gt;SUMIFS(Nutrients_from_future_land_use!$B$5:$B$21,Nutrients_from_future_land_use!$A$5:$A$21,A21),"Area of new land covers within SuDS catchment area exceeds the area of new land covers proposed","")</f>
        <v/>
      </c>
    </row>
    <row r="22" spans="1:11" ht="28.5" customHeight="1" x14ac:dyDescent="0.25">
      <c r="A22" s="80"/>
      <c r="B22" s="16"/>
      <c r="C22" s="75"/>
      <c r="D22" s="38" t="str">
        <f>IFERROR(IF(ISBLANK(A22),"",IF(ISBLANK(B22),"",VLOOKUP(A22,Nutrients_from_future_land_use!$A$5:$D$21,3,FALSE)*(B22/VLOOKUP(A22,Nutrients_from_future_land_use!$A$5:$D$21,2,FALSE)))),"")</f>
        <v/>
      </c>
      <c r="E22" s="38" t="str">
        <f>IFERROR(IF(ISBLANK(A22),"",IF(ISBLANK(B22),"",VLOOKUP(A22,Nutrients_from_future_land_use!$A$5:$D$21,4,FALSE)*(B22/VLOOKUP(A22,Nutrients_from_future_land_use!$A$5:$D$21,2,FALSE)))),"")</f>
        <v/>
      </c>
      <c r="F22" s="75"/>
      <c r="G22" s="75"/>
      <c r="H22" s="75"/>
      <c r="I22" s="38" t="str">
        <f t="shared" si="0"/>
        <v/>
      </c>
      <c r="J22" s="38" t="str">
        <f t="shared" si="1"/>
        <v/>
      </c>
      <c r="K22" s="3" t="str">
        <f>IF(SUMIFS($B$4:$B$28,$A$4:$A$28,A22)&gt;SUMIFS(Nutrients_from_future_land_use!$B$5:$B$21,Nutrients_from_future_land_use!$A$5:$A$21,A22),"Area of new land covers within SuDS catchment area exceeds the area of new land covers proposed","")</f>
        <v/>
      </c>
    </row>
    <row r="23" spans="1:11" ht="28.5" customHeight="1" x14ac:dyDescent="0.25">
      <c r="A23" s="80"/>
      <c r="B23" s="16"/>
      <c r="C23" s="75"/>
      <c r="D23" s="38" t="str">
        <f>IFERROR(IF(ISBLANK(A23),"",IF(ISBLANK(B23),"",VLOOKUP(A23,Nutrients_from_future_land_use!$A$5:$D$21,3,FALSE)*(B23/VLOOKUP(A23,Nutrients_from_future_land_use!$A$5:$D$21,2,FALSE)))),"")</f>
        <v/>
      </c>
      <c r="E23" s="38" t="str">
        <f>IFERROR(IF(ISBLANK(A23),"",IF(ISBLANK(B23),"",VLOOKUP(A23,Nutrients_from_future_land_use!$A$5:$D$21,4,FALSE)*(B23/VLOOKUP(A23,Nutrients_from_future_land_use!$A$5:$D$21,2,FALSE)))),"")</f>
        <v/>
      </c>
      <c r="F23" s="75"/>
      <c r="G23" s="75"/>
      <c r="H23" s="75"/>
      <c r="I23" s="38" t="str">
        <f t="shared" si="0"/>
        <v/>
      </c>
      <c r="J23" s="38" t="str">
        <f t="shared" si="1"/>
        <v/>
      </c>
      <c r="K23" s="3" t="str">
        <f>IF(SUMIFS($B$4:$B$28,$A$4:$A$28,A23)&gt;SUMIFS(Nutrients_from_future_land_use!$B$5:$B$21,Nutrients_from_future_land_use!$A$5:$A$21,A23),"Area of new land covers within SuDS catchment area exceeds the area of new land covers proposed","")</f>
        <v/>
      </c>
    </row>
    <row r="24" spans="1:11" ht="28.5" customHeight="1" x14ac:dyDescent="0.25">
      <c r="A24" s="80"/>
      <c r="B24" s="16"/>
      <c r="C24" s="75"/>
      <c r="D24" s="38" t="str">
        <f>IFERROR(IF(ISBLANK(A24),"",IF(ISBLANK(B24),"",VLOOKUP(A24,Nutrients_from_future_land_use!$A$5:$D$21,3,FALSE)*(B24/VLOOKUP(A24,Nutrients_from_future_land_use!$A$5:$D$21,2,FALSE)))),"")</f>
        <v/>
      </c>
      <c r="E24" s="38" t="str">
        <f>IFERROR(IF(ISBLANK(A24),"",IF(ISBLANK(B24),"",VLOOKUP(A24,Nutrients_from_future_land_use!$A$5:$D$21,4,FALSE)*(B24/VLOOKUP(A24,Nutrients_from_future_land_use!$A$5:$D$21,2,FALSE)))),"")</f>
        <v/>
      </c>
      <c r="F24" s="75"/>
      <c r="G24" s="75"/>
      <c r="H24" s="75"/>
      <c r="I24" s="38" t="str">
        <f t="shared" si="0"/>
        <v/>
      </c>
      <c r="J24" s="38" t="str">
        <f t="shared" si="1"/>
        <v/>
      </c>
      <c r="K24" s="3" t="str">
        <f>IF(SUMIFS($B$4:$B$28,$A$4:$A$28,A24)&gt;SUMIFS(Nutrients_from_future_land_use!$B$5:$B$21,Nutrients_from_future_land_use!$A$5:$A$21,A24),"Area of new land covers within SuDS catchment area exceeds the area of new land covers proposed","")</f>
        <v/>
      </c>
    </row>
    <row r="25" spans="1:11" ht="28.5" customHeight="1" x14ac:dyDescent="0.25">
      <c r="A25" s="80"/>
      <c r="B25" s="16"/>
      <c r="C25" s="75"/>
      <c r="D25" s="38" t="str">
        <f>IFERROR(IF(ISBLANK(A25),"",IF(ISBLANK(B25),"",VLOOKUP(A25,Nutrients_from_future_land_use!$A$5:$D$21,3,FALSE)*(B25/VLOOKUP(A25,Nutrients_from_future_land_use!$A$5:$D$21,2,FALSE)))),"")</f>
        <v/>
      </c>
      <c r="E25" s="38" t="str">
        <f>IFERROR(IF(ISBLANK(A25),"",IF(ISBLANK(B25),"",VLOOKUP(A25,Nutrients_from_future_land_use!$A$5:$D$21,4,FALSE)*(B25/VLOOKUP(A25,Nutrients_from_future_land_use!$A$5:$D$21,2,FALSE)))),"")</f>
        <v/>
      </c>
      <c r="F25" s="75"/>
      <c r="G25" s="75"/>
      <c r="H25" s="75"/>
      <c r="I25" s="38" t="str">
        <f t="shared" si="0"/>
        <v/>
      </c>
      <c r="J25" s="38" t="str">
        <f t="shared" si="1"/>
        <v/>
      </c>
      <c r="K25" s="3" t="str">
        <f>IF(SUMIFS($B$4:$B$28,$A$4:$A$28,A25)&gt;SUMIFS(Nutrients_from_future_land_use!$B$5:$B$21,Nutrients_from_future_land_use!$A$5:$A$21,A25),"Area of new land covers within SuDS catchment area exceeds the area of new land covers proposed","")</f>
        <v/>
      </c>
    </row>
    <row r="26" spans="1:11" ht="28.5" customHeight="1" x14ac:dyDescent="0.25">
      <c r="A26" s="80"/>
      <c r="B26" s="16"/>
      <c r="C26" s="75"/>
      <c r="D26" s="38" t="str">
        <f>IFERROR(IF(ISBLANK(A26),"",IF(ISBLANK(B26),"",VLOOKUP(A26,Nutrients_from_future_land_use!$A$5:$D$21,3,FALSE)*(B26/VLOOKUP(A26,Nutrients_from_future_land_use!$A$5:$D$21,2,FALSE)))),"")</f>
        <v/>
      </c>
      <c r="E26" s="38" t="str">
        <f>IFERROR(IF(ISBLANK(A26),"",IF(ISBLANK(B26),"",VLOOKUP(A26,Nutrients_from_future_land_use!$A$5:$D$21,4,FALSE)*(B26/VLOOKUP(A26,Nutrients_from_future_land_use!$A$5:$D$21,2,FALSE)))),"")</f>
        <v/>
      </c>
      <c r="F26" s="75"/>
      <c r="G26" s="75"/>
      <c r="H26" s="75"/>
      <c r="I26" s="38" t="str">
        <f t="shared" si="0"/>
        <v/>
      </c>
      <c r="J26" s="38" t="str">
        <f t="shared" si="1"/>
        <v/>
      </c>
      <c r="K26" s="3" t="str">
        <f>IF(SUMIFS($B$4:$B$28,$A$4:$A$28,A26)&gt;SUMIFS(Nutrients_from_future_land_use!$B$5:$B$21,Nutrients_from_future_land_use!$A$5:$A$21,A26),"Area of new land covers within SuDS catchment area exceeds the area of new land covers proposed","")</f>
        <v/>
      </c>
    </row>
    <row r="27" spans="1:11" ht="28.5" customHeight="1" x14ac:dyDescent="0.25">
      <c r="A27" s="80"/>
      <c r="B27" s="16"/>
      <c r="C27" s="75"/>
      <c r="D27" s="38" t="str">
        <f>IFERROR(IF(ISBLANK(A27),"",IF(ISBLANK(B27),"",VLOOKUP(A27,Nutrients_from_future_land_use!$A$5:$D$21,3,FALSE)*(B27/VLOOKUP(A27,Nutrients_from_future_land_use!$A$5:$D$21,2,FALSE)))),"")</f>
        <v/>
      </c>
      <c r="E27" s="38" t="str">
        <f>IFERROR(IF(ISBLANK(A27),"",IF(ISBLANK(B27),"",VLOOKUP(A27,Nutrients_from_future_land_use!$A$5:$D$21,4,FALSE)*(B27/VLOOKUP(A27,Nutrients_from_future_land_use!$A$5:$D$21,2,FALSE)))),"")</f>
        <v/>
      </c>
      <c r="F27" s="75"/>
      <c r="G27" s="75"/>
      <c r="H27" s="75"/>
      <c r="I27" s="38" t="str">
        <f t="shared" si="0"/>
        <v/>
      </c>
      <c r="J27" s="38" t="str">
        <f t="shared" si="1"/>
        <v/>
      </c>
      <c r="K27" s="3" t="str">
        <f>IF(SUMIFS($B$4:$B$28,$A$4:$A$28,A27)&gt;SUMIFS(Nutrients_from_future_land_use!$B$5:$B$21,Nutrients_from_future_land_use!$A$5:$A$21,A27),"Area of new land covers within SuDS catchment area exceeds the area of new land covers proposed","")</f>
        <v/>
      </c>
    </row>
    <row r="28" spans="1:11" ht="28.5" customHeight="1" x14ac:dyDescent="0.25">
      <c r="A28" s="80"/>
      <c r="B28" s="16"/>
      <c r="C28" s="75"/>
      <c r="D28" s="38" t="str">
        <f>IFERROR(IF(ISBLANK(A28),"",IF(ISBLANK(B28),"",VLOOKUP(A28,Nutrients_from_future_land_use!$A$5:$D$21,3,FALSE)*(B28/VLOOKUP(A28,Nutrients_from_future_land_use!$A$5:$D$21,2,FALSE)))),"")</f>
        <v/>
      </c>
      <c r="E28" s="38" t="str">
        <f>IFERROR(IF(ISBLANK(A28),"",IF(ISBLANK(B28),"",VLOOKUP(A28,Nutrients_from_future_land_use!$A$5:$D$21,4,FALSE)*(B28/VLOOKUP(A28,Nutrients_from_future_land_use!$A$5:$D$21,2,FALSE)))),"")</f>
        <v/>
      </c>
      <c r="F28" s="75"/>
      <c r="G28" s="75"/>
      <c r="H28" s="75"/>
      <c r="I28" s="38" t="str">
        <f t="shared" si="0"/>
        <v/>
      </c>
      <c r="J28" s="38" t="str">
        <f t="shared" si="1"/>
        <v/>
      </c>
      <c r="K28" s="3" t="str">
        <f>IF(SUMIFS($B$4:$B$28,$A$4:$A$28,A28)&gt;SUMIFS(Nutrients_from_future_land_use!$B$5:$B$21,Nutrients_from_future_land_use!$A$5:$A$21,A28),"Area of new land covers within SuDS catchment area exceeds the area of new land covers proposed","")</f>
        <v/>
      </c>
    </row>
    <row r="29" spans="1:11" ht="22.5" customHeight="1" x14ac:dyDescent="0.25">
      <c r="A29" s="11" t="s">
        <v>206</v>
      </c>
      <c r="B29" s="76">
        <f>SUM(B4:B28)</f>
        <v>0</v>
      </c>
      <c r="C29" s="76"/>
      <c r="D29" s="76">
        <f t="shared" ref="D29:E29" si="2">SUM(D4:D28)</f>
        <v>0</v>
      </c>
      <c r="E29" s="76">
        <f t="shared" si="2"/>
        <v>0</v>
      </c>
      <c r="F29" s="77"/>
      <c r="G29" s="77"/>
      <c r="H29" s="77"/>
      <c r="I29" s="36">
        <f>SUM(I4:I28)</f>
        <v>0</v>
      </c>
      <c r="J29" s="36">
        <f>SUM(J4:J28)</f>
        <v>0</v>
      </c>
      <c r="K29" s="109" t="str">
        <f>IF(SUMIFS($B$4:$B$28,$A$4:$A$28,A29)&gt;SUMIFS(Nutrients_from_future_land_use!$B$5:$B$21,Nutrients_from_future_land_use!$A$5:$A$21,A29),"Area of new land covers within SuDS catchment area exceeds the area of new land covers proposed","")</f>
        <v/>
      </c>
    </row>
  </sheetData>
  <sheetProtection algorithmName="SHA-512" hashValue="YewqsalgShUAEZlTk4RVowVCIPTzBH1EzH8R4xz9g0U+ZHgaYPdrjo4ks92V3IX+jGgjFwjmY27UtyGFYhbhQA==" saltValue="aHAtw6oBQEuis7uOBxr5lQ==" spinCount="100000" sheet="1" objects="1" scenarios="1"/>
  <protectedRanges>
    <protectedRange algorithmName="SHA-512" hashValue="MvmTLotpKiuRnedI3A4NjKJPVt4Aw8hcOvmE+D0rBMjM9TiU4ekXkprnHN0k9oVg0inb+CLcUsLFrJxBFcC6uw==" saltValue="93Zg0snhziumGVhjlXa2zg==" spinCount="100000" sqref="A4:A28 B29:E29" name="Range1"/>
    <protectedRange algorithmName="SHA-512" hashValue="MvmTLotpKiuRnedI3A4NjKJPVt4Aw8hcOvmE+D0rBMjM9TiU4ekXkprnHN0k9oVg0inb+CLcUsLFrJxBFcC6uw==" saltValue="93Zg0snhziumGVhjlXa2zg==" spinCount="100000" sqref="B4:C28" name="Range1_1"/>
  </protectedRanges>
  <phoneticPr fontId="3" type="noConversion"/>
  <dataValidations count="4">
    <dataValidation allowBlank="1" showErrorMessage="1" prompt="Please enter area in hectares." sqref="B29:E29" xr:uid="{4F17A0C8-BADF-4DA8-A067-4ABBCFF91399}"/>
    <dataValidation type="decimal" allowBlank="1" showErrorMessage="1" sqref="G4:H28" xr:uid="{71280BD0-17E2-4B70-8A1F-A9E40789C1E4}">
      <formula1>0</formula1>
      <formula2>100</formula2>
    </dataValidation>
    <dataValidation type="decimal" operator="greaterThanOrEqual" allowBlank="1" showErrorMessage="1" prompt="Please enter area in hectares." sqref="B4:B28" xr:uid="{217E3FA1-1BB8-45C3-9D2C-1D4956B28508}">
      <formula1>0</formula1>
    </dataValidation>
    <dataValidation type="decimal" allowBlank="1" showErrorMessage="1" prompt="Please enter area in hectares." sqref="C4:C28" xr:uid="{FBC78870-43D9-4EA6-A174-BF01D3A5A955}">
      <formula1>0</formula1>
      <formula2>100</formula2>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151555C-C9B1-4515-88DE-D67B24751730}">
          <x14:formula1>
            <xm:f>_xlfn.ANCHORARRAY(Value_look_up_tables!$A$184)</xm:f>
          </x14:formula1>
          <xm:sqref>A4:A28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82EE-826E-403B-BCD4-7E1A897AA803}">
  <dimension ref="A1:C23"/>
  <sheetViews>
    <sheetView zoomScaleNormal="100" workbookViewId="0"/>
  </sheetViews>
  <sheetFormatPr defaultColWidth="9.140625" defaultRowHeight="15" x14ac:dyDescent="0.25"/>
  <cols>
    <col min="1" max="1" width="80.5703125" style="3" customWidth="1"/>
    <col min="2" max="4" width="40.5703125" style="3" customWidth="1"/>
    <col min="5" max="466" width="8.5703125" style="3" customWidth="1"/>
    <col min="467" max="16384" width="9.140625" style="3"/>
  </cols>
  <sheetData>
    <row r="1" spans="1:3" ht="37.5" customHeight="1" x14ac:dyDescent="0.25">
      <c r="A1" s="50" t="s">
        <v>146</v>
      </c>
      <c r="B1" s="110"/>
      <c r="C1" s="111"/>
    </row>
    <row r="2" spans="1:3" ht="105" customHeight="1" x14ac:dyDescent="0.25">
      <c r="A2" s="3" t="s">
        <v>251</v>
      </c>
      <c r="B2" s="51"/>
    </row>
    <row r="3" spans="1:3" ht="54.75" customHeight="1" x14ac:dyDescent="0.25">
      <c r="A3" s="22" t="s">
        <v>145</v>
      </c>
      <c r="B3" s="52"/>
    </row>
    <row r="4" spans="1:3" ht="22.5" customHeight="1" x14ac:dyDescent="0.25">
      <c r="A4" s="58" t="s">
        <v>168</v>
      </c>
      <c r="B4" s="59" t="s">
        <v>169</v>
      </c>
    </row>
    <row r="5" spans="1:3" ht="22.5" customHeight="1" x14ac:dyDescent="0.25">
      <c r="A5" s="35" t="s">
        <v>192</v>
      </c>
      <c r="B5" s="60" t="str">
        <f>Nutrients_from_wastewater!B22</f>
        <v/>
      </c>
    </row>
    <row r="6" spans="1:3" ht="22.5" customHeight="1" x14ac:dyDescent="0.25">
      <c r="A6" s="10" t="s">
        <v>189</v>
      </c>
      <c r="B6" s="61">
        <f>IFERROR(Nutrients_from_future_land_use!C22-SuDS!I29-Nutrients_from_current_land_use!C28,"")</f>
        <v>0</v>
      </c>
    </row>
    <row r="7" spans="1:3" ht="22.5" customHeight="1" x14ac:dyDescent="0.25">
      <c r="A7" s="10" t="s">
        <v>190</v>
      </c>
      <c r="B7" s="54" t="str">
        <f>IFERROR(B5+B6,"")</f>
        <v/>
      </c>
    </row>
    <row r="8" spans="1:3" ht="22.5" customHeight="1" x14ac:dyDescent="0.25">
      <c r="A8" s="10" t="s">
        <v>191</v>
      </c>
      <c r="B8" s="54" t="str">
        <f>IFERROR(B7*1.2,"")</f>
        <v/>
      </c>
    </row>
    <row r="9" spans="1:3" ht="22.5" customHeight="1" x14ac:dyDescent="0.25">
      <c r="A9" s="35" t="s">
        <v>193</v>
      </c>
      <c r="B9" s="60" t="str">
        <f>Nutrients_from_wastewater!B23</f>
        <v/>
      </c>
    </row>
    <row r="10" spans="1:3" ht="22.5" customHeight="1" x14ac:dyDescent="0.25">
      <c r="A10" s="10" t="s">
        <v>194</v>
      </c>
      <c r="B10" s="54">
        <f>IFERROR(Nutrients_from_future_land_use!D22-SuDS!J29-Nutrients_from_current_land_use!D28,"")</f>
        <v>0</v>
      </c>
    </row>
    <row r="11" spans="1:3" ht="22.5" customHeight="1" x14ac:dyDescent="0.25">
      <c r="A11" s="10" t="s">
        <v>195</v>
      </c>
      <c r="B11" s="54" t="str">
        <f>IFERROR(B9+B10,"")</f>
        <v/>
      </c>
    </row>
    <row r="12" spans="1:3" ht="22.5" customHeight="1" x14ac:dyDescent="0.25">
      <c r="A12" s="10" t="s">
        <v>196</v>
      </c>
      <c r="B12" s="54" t="str">
        <f>IFERROR(B11*1.2,"")</f>
        <v/>
      </c>
    </row>
    <row r="13" spans="1:3" ht="22.5" customHeight="1" x14ac:dyDescent="0.25">
      <c r="A13" s="53" t="str">
        <f>IFERROR(IF(AND(Nutrients_from_wastewater!$B$5&lt;DATE(2025,1,1),OR((VLOOKUP(Nutrients_from_wastewater!$B$10,Value_look_up_tables!$A$5:$E$10,2,FALSE))&gt;(VLOOKUP(Nutrients_from_wastewater!$B$10,Value_look_up_tables!$A$5:$E$10,4,FALSE)),(VLOOKUP(Nutrients_from_wastewater!$B$10,Value_look_up_tables!$A$5:$E$10,3,FALSE))&gt;(VLOOKUP(Nutrients_from_wastewater!$B$10,Value_look_up_tables!$A$5:$E$10,5,FALSE)))),"Post-2030 Annual Nutrient Budget","Annual Nutrient Budget"),"")</f>
        <v/>
      </c>
      <c r="B13" s="83"/>
    </row>
    <row r="14" spans="1:3" ht="22.5" customHeight="1" x14ac:dyDescent="0.25">
      <c r="A14" s="35" t="s">
        <v>197</v>
      </c>
      <c r="B14" s="54" t="str">
        <f>IFERROR(IF(ROUND(B8,2)&lt;0,0,ROUND(B8,2)),"")</f>
        <v/>
      </c>
    </row>
    <row r="15" spans="1:3" ht="22.5" customHeight="1" x14ac:dyDescent="0.25">
      <c r="A15" s="35" t="s">
        <v>198</v>
      </c>
      <c r="B15" s="54" t="str">
        <f>IFERROR(IF(ROUND(B12,2)&lt;0,0,ROUND(B12,2)),"")</f>
        <v/>
      </c>
    </row>
    <row r="16" spans="1:3" ht="22.5" customHeight="1" x14ac:dyDescent="0.25">
      <c r="A16" s="53" t="str">
        <f>IF(Nutrients_from_wastewater!A24="","",LEFT(Nutrients_from_wastewater!A24,9)&amp;"Nutrient Budget")</f>
        <v/>
      </c>
      <c r="B16" s="83"/>
    </row>
    <row r="17" spans="1:3" ht="22.5" customHeight="1" x14ac:dyDescent="0.25">
      <c r="A17" s="35" t="str">
        <f>IF(A16&lt;&gt;"","The total annual phosphorus load to mitigate is (kg TP/yr):","")</f>
        <v/>
      </c>
      <c r="B17" s="55" t="str">
        <f>IFERROR(ROUND((Nutrients_from_wastewater!B25+$B$6)*1.2,2),"")</f>
        <v/>
      </c>
    </row>
    <row r="18" spans="1:3" ht="22.5" customHeight="1" x14ac:dyDescent="0.25">
      <c r="A18" s="35" t="str">
        <f>IF(A16&lt;&gt;"","The total annual nitrogen load to mitigate is (kg TN/yr):","")</f>
        <v/>
      </c>
      <c r="B18" s="56" t="str">
        <f>IFERROR(ROUND((Nutrients_from_wastewater!B26+$B$10)*1.2,2),"")</f>
        <v/>
      </c>
    </row>
    <row r="19" spans="1:3" ht="22.5" customHeight="1" x14ac:dyDescent="0.25">
      <c r="A19" s="53" t="str">
        <f>IF(Nutrients_from_wastewater!A27="","",LEFT(Nutrients_from_wastewater!A27,9)&amp;"Nutrient Budget")</f>
        <v/>
      </c>
      <c r="B19" s="83"/>
    </row>
    <row r="20" spans="1:3" ht="22.5" customHeight="1" x14ac:dyDescent="0.25">
      <c r="A20" s="35" t="str">
        <f>IF(A19&lt;&gt;"","The total annual phosphorus load to mitigate is (kg TP/yr):","")</f>
        <v/>
      </c>
      <c r="B20" s="55" t="str">
        <f>IFERROR(IF(Nutrients_from_wastewater!$A$27="","",ROUND((Nutrients_from_wastewater!B28+$B$6)*1.2,2)),IFERROR(B17,""))</f>
        <v/>
      </c>
    </row>
    <row r="21" spans="1:3" ht="22.5" customHeight="1" x14ac:dyDescent="0.25">
      <c r="A21" s="57" t="str">
        <f>IF(A19&lt;&gt;"","The total annual nitrogen load to mitigate is (kg TN/yr):","")</f>
        <v/>
      </c>
      <c r="B21" s="56" t="str">
        <f>IFERROR(IF(Nutrients_from_wastewater!$A$27="","",ROUND((Nutrients_from_wastewater!B29+$B$10)*1.2,2)),IFERROR(B18,""))</f>
        <v/>
      </c>
    </row>
    <row r="22" spans="1:3" ht="22.5" customHeight="1" x14ac:dyDescent="0.25">
      <c r="A22" s="52"/>
      <c r="B22" s="37"/>
    </row>
    <row r="23" spans="1:3" ht="15.75" x14ac:dyDescent="0.25">
      <c r="A23" s="52"/>
      <c r="B23" s="37"/>
      <c r="C23" s="39"/>
    </row>
  </sheetData>
  <sheetProtection algorithmName="SHA-512" hashValue="xEPMlHlW2f6D6y7dH+g3D4zc4UJClJIJ6b68hNrEi4+en3xRC47ETKFEaoM7eA+g81BDWDLg05FM8qnxVIB0NA==" saltValue="rtQ1ChBSnI+sSV+HyOLfNA==" spinCount="100000" sheet="1" objects="1" scenarios="1"/>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3125CCC-BE42-4D41-A6C3-63F556A5FD41}">
          <x14:formula1>
            <xm:f>'C:\Users\DS56\OneDrive - Ricardo Plc\NE NN\[Copy of Herefordshire Council Phosphate Budget Calculator_Final.xlsx]Stage 2 and 3 lookups'!#REF!</xm:f>
          </x14:formula1>
          <xm:sqref>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A7AF-3E94-4ACD-8BCA-F732777F79B7}">
  <dimension ref="A1:N184"/>
  <sheetViews>
    <sheetView zoomScaleNormal="100" workbookViewId="0"/>
  </sheetViews>
  <sheetFormatPr defaultColWidth="65.42578125" defaultRowHeight="15" x14ac:dyDescent="0.2"/>
  <cols>
    <col min="1" max="1" width="41" style="113" customWidth="1"/>
    <col min="2" max="3" width="15.7109375" style="113" customWidth="1"/>
    <col min="4" max="4" width="17.28515625" style="113" customWidth="1"/>
    <col min="5" max="5" width="25.7109375" style="113" customWidth="1"/>
    <col min="6" max="6" width="50.7109375" style="113" customWidth="1"/>
    <col min="7" max="7" width="27.85546875" style="113" customWidth="1"/>
    <col min="8" max="8" width="15.7109375" style="113" customWidth="1"/>
    <col min="9" max="9" width="25.7109375" style="113" customWidth="1"/>
    <col min="10" max="10" width="25" style="113" customWidth="1"/>
    <col min="11" max="13" width="15.7109375" style="113" customWidth="1"/>
    <col min="14" max="16384" width="65.42578125" style="113"/>
  </cols>
  <sheetData>
    <row r="1" spans="1:14" ht="54.75" customHeight="1" x14ac:dyDescent="0.2">
      <c r="A1" s="88" t="s">
        <v>128</v>
      </c>
      <c r="B1" s="123"/>
      <c r="C1" s="123"/>
      <c r="D1" s="123"/>
      <c r="E1" s="123"/>
      <c r="F1" s="123"/>
      <c r="G1" s="123"/>
      <c r="H1" s="123"/>
      <c r="I1" s="123"/>
      <c r="J1" s="123"/>
      <c r="K1" s="123"/>
      <c r="L1" s="123"/>
      <c r="M1" s="123"/>
      <c r="N1" s="123"/>
    </row>
    <row r="2" spans="1:14" ht="69.75" customHeight="1" x14ac:dyDescent="0.2">
      <c r="A2" s="32" t="s">
        <v>218</v>
      </c>
    </row>
    <row r="3" spans="1:14" ht="28.5" customHeight="1" x14ac:dyDescent="0.2">
      <c r="A3" s="22" t="s">
        <v>6</v>
      </c>
    </row>
    <row r="4" spans="1:14" ht="86.25" customHeight="1" x14ac:dyDescent="0.2">
      <c r="A4" s="117" t="s">
        <v>7</v>
      </c>
      <c r="B4" s="117" t="s">
        <v>8</v>
      </c>
      <c r="C4" s="117" t="s">
        <v>9</v>
      </c>
      <c r="D4" s="117" t="s">
        <v>10</v>
      </c>
      <c r="E4" s="117" t="s">
        <v>121</v>
      </c>
      <c r="F4" s="112" t="s">
        <v>122</v>
      </c>
      <c r="G4" s="112" t="s">
        <v>123</v>
      </c>
      <c r="H4" s="117" t="s">
        <v>150</v>
      </c>
      <c r="I4" s="117" t="s">
        <v>151</v>
      </c>
      <c r="J4" s="112" t="s">
        <v>152</v>
      </c>
      <c r="L4" s="114"/>
      <c r="M4" s="114"/>
    </row>
    <row r="5" spans="1:14" x14ac:dyDescent="0.2">
      <c r="A5" s="114" t="s">
        <v>11</v>
      </c>
      <c r="B5" s="114">
        <v>1</v>
      </c>
      <c r="C5" s="114">
        <f>F5+2</f>
        <v>27</v>
      </c>
      <c r="D5" s="114">
        <v>0.6</v>
      </c>
      <c r="E5" s="114">
        <v>27</v>
      </c>
      <c r="F5" s="114">
        <v>25</v>
      </c>
      <c r="G5" s="114">
        <v>25</v>
      </c>
      <c r="H5" s="114">
        <v>0.25</v>
      </c>
      <c r="I5" s="114">
        <v>10</v>
      </c>
      <c r="J5" s="114">
        <v>8</v>
      </c>
      <c r="L5" s="114"/>
      <c r="M5" s="114"/>
    </row>
    <row r="6" spans="1:14" x14ac:dyDescent="0.2">
      <c r="A6" s="114" t="s">
        <v>12</v>
      </c>
      <c r="B6" s="114">
        <v>1</v>
      </c>
      <c r="C6" s="114">
        <f t="shared" ref="C6:C10" si="0">F6+2</f>
        <v>27</v>
      </c>
      <c r="D6" s="114">
        <v>0.25</v>
      </c>
      <c r="E6" s="114">
        <f t="shared" ref="E6:E10" si="1">G6+2</f>
        <v>27</v>
      </c>
      <c r="F6" s="114">
        <v>25</v>
      </c>
      <c r="G6" s="114">
        <v>25</v>
      </c>
      <c r="H6" s="114">
        <v>0.25</v>
      </c>
      <c r="I6" s="114">
        <v>10</v>
      </c>
      <c r="J6" s="114">
        <v>8</v>
      </c>
      <c r="L6" s="114"/>
      <c r="M6" s="114"/>
    </row>
    <row r="7" spans="1:14" x14ac:dyDescent="0.2">
      <c r="A7" s="114" t="s">
        <v>13</v>
      </c>
      <c r="B7" s="114">
        <v>1</v>
      </c>
      <c r="C7" s="114">
        <f t="shared" si="0"/>
        <v>27</v>
      </c>
      <c r="D7" s="114">
        <v>1</v>
      </c>
      <c r="E7" s="114">
        <v>27</v>
      </c>
      <c r="F7" s="114">
        <v>25</v>
      </c>
      <c r="G7" s="114">
        <v>25</v>
      </c>
      <c r="H7" s="114">
        <v>0.25</v>
      </c>
      <c r="I7" s="114">
        <v>10</v>
      </c>
      <c r="J7" s="114">
        <v>8</v>
      </c>
      <c r="L7" s="114"/>
      <c r="M7" s="114"/>
    </row>
    <row r="8" spans="1:14" x14ac:dyDescent="0.2">
      <c r="A8" s="114" t="s">
        <v>14</v>
      </c>
      <c r="B8" s="114">
        <v>8</v>
      </c>
      <c r="C8" s="114">
        <v>27</v>
      </c>
      <c r="D8" s="114">
        <v>8</v>
      </c>
      <c r="E8" s="114">
        <f t="shared" si="1"/>
        <v>27</v>
      </c>
      <c r="F8" s="114">
        <v>25</v>
      </c>
      <c r="G8" s="114">
        <v>25</v>
      </c>
      <c r="H8" s="114">
        <v>0.25</v>
      </c>
      <c r="I8" s="114">
        <v>10</v>
      </c>
      <c r="J8" s="114">
        <v>8</v>
      </c>
      <c r="L8" s="114"/>
      <c r="M8" s="114"/>
    </row>
    <row r="9" spans="1:14" x14ac:dyDescent="0.2">
      <c r="A9" s="114" t="s">
        <v>15</v>
      </c>
      <c r="B9" s="114">
        <v>9.6999999999999993</v>
      </c>
      <c r="C9" s="114">
        <f t="shared" si="0"/>
        <v>72.900000000000006</v>
      </c>
      <c r="D9" s="114">
        <v>9.6999999999999993</v>
      </c>
      <c r="E9" s="114">
        <f t="shared" si="1"/>
        <v>72.900000000000006</v>
      </c>
      <c r="F9" s="114">
        <v>70.900000000000006</v>
      </c>
      <c r="G9" s="114">
        <v>70.900000000000006</v>
      </c>
      <c r="H9" s="114">
        <v>9.6999999999999993</v>
      </c>
      <c r="I9" s="114">
        <f>J9+2</f>
        <v>72.900000000000006</v>
      </c>
      <c r="J9" s="114">
        <v>70.900000000000006</v>
      </c>
      <c r="L9" s="114"/>
      <c r="M9" s="114"/>
    </row>
    <row r="10" spans="1:14" x14ac:dyDescent="0.2">
      <c r="A10" s="114" t="s">
        <v>1</v>
      </c>
      <c r="B10" s="114">
        <v>11.6</v>
      </c>
      <c r="C10" s="114">
        <f t="shared" si="0"/>
        <v>96.3</v>
      </c>
      <c r="D10" s="114">
        <v>11.6</v>
      </c>
      <c r="E10" s="114">
        <f t="shared" si="1"/>
        <v>96.3</v>
      </c>
      <c r="F10" s="114">
        <v>94.3</v>
      </c>
      <c r="G10" s="114">
        <v>94.3</v>
      </c>
      <c r="H10" s="114">
        <v>11.6</v>
      </c>
      <c r="I10" s="114">
        <f>J10+2</f>
        <v>96.3</v>
      </c>
      <c r="J10" s="114">
        <v>94.3</v>
      </c>
      <c r="L10" s="114"/>
      <c r="M10" s="114"/>
    </row>
    <row r="11" spans="1:14" x14ac:dyDescent="0.2">
      <c r="A11" s="114" t="s">
        <v>16</v>
      </c>
      <c r="B11" s="114"/>
      <c r="C11" s="114"/>
      <c r="D11" s="114"/>
      <c r="E11" s="114"/>
      <c r="F11" s="114"/>
      <c r="G11" s="114"/>
      <c r="H11" s="114"/>
      <c r="I11" s="114"/>
      <c r="J11" s="114"/>
      <c r="L11" s="114"/>
      <c r="M11" s="114"/>
    </row>
    <row r="12" spans="1:14" x14ac:dyDescent="0.2">
      <c r="A12" s="114" t="s">
        <v>17</v>
      </c>
      <c r="B12" s="114"/>
      <c r="C12" s="114"/>
      <c r="D12" s="114"/>
      <c r="E12" s="114"/>
      <c r="F12" s="114"/>
      <c r="G12" s="114"/>
      <c r="H12" s="114"/>
      <c r="I12" s="114"/>
      <c r="J12" s="114"/>
      <c r="L12" s="114"/>
      <c r="M12" s="114"/>
    </row>
    <row r="13" spans="1:14" x14ac:dyDescent="0.2">
      <c r="A13" s="114"/>
      <c r="B13" s="114"/>
      <c r="C13" s="114"/>
      <c r="D13" s="114"/>
      <c r="E13" s="114"/>
      <c r="F13" s="114"/>
      <c r="G13" s="114"/>
      <c r="H13" s="114"/>
      <c r="I13" s="114"/>
      <c r="J13" s="114"/>
      <c r="K13" s="114"/>
      <c r="L13" s="114"/>
      <c r="M13" s="114"/>
    </row>
    <row r="14" spans="1:14" ht="42.75" customHeight="1" x14ac:dyDescent="0.2">
      <c r="A14" s="22" t="s">
        <v>18</v>
      </c>
      <c r="B14" s="114"/>
      <c r="C14" s="114"/>
      <c r="D14" s="114"/>
      <c r="E14" s="114"/>
      <c r="F14" s="114"/>
      <c r="G14" s="114"/>
      <c r="H14" s="114"/>
      <c r="I14" s="114"/>
      <c r="J14" s="114"/>
      <c r="K14" s="114"/>
      <c r="L14" s="114"/>
      <c r="M14" s="114"/>
    </row>
    <row r="15" spans="1:14" ht="78.75" x14ac:dyDescent="0.2">
      <c r="A15" s="117" t="s">
        <v>19</v>
      </c>
      <c r="B15" s="117" t="s">
        <v>20</v>
      </c>
      <c r="C15" s="117" t="s">
        <v>21</v>
      </c>
      <c r="D15" s="117" t="s">
        <v>22</v>
      </c>
      <c r="E15" s="117" t="s">
        <v>23</v>
      </c>
      <c r="F15" s="117" t="s">
        <v>24</v>
      </c>
      <c r="G15" s="117" t="s">
        <v>25</v>
      </c>
      <c r="H15" s="117" t="s">
        <v>26</v>
      </c>
      <c r="I15" s="117" t="s">
        <v>27</v>
      </c>
      <c r="J15" s="117" t="s">
        <v>28</v>
      </c>
      <c r="K15" s="117" t="s">
        <v>29</v>
      </c>
      <c r="L15" s="117" t="s">
        <v>30</v>
      </c>
      <c r="M15" s="117" t="s">
        <v>31</v>
      </c>
    </row>
    <row r="16" spans="1:14" ht="17.25" customHeight="1" x14ac:dyDescent="0.2">
      <c r="A16" s="121" t="s">
        <v>32</v>
      </c>
      <c r="B16" s="121" t="s">
        <v>33</v>
      </c>
      <c r="C16" s="121" t="b">
        <v>1</v>
      </c>
      <c r="D16" s="121" t="s">
        <v>34</v>
      </c>
      <c r="E16" s="121" t="s">
        <v>35</v>
      </c>
      <c r="F16" s="114" t="str">
        <f>A16&amp;"|"&amp;B16&amp;"|"&amp;C16&amp;"|"&amp;D16&amp;"|"&amp;E16</f>
        <v>Itchen|Cereals|TRUE|700to900|FreeDrain</v>
      </c>
      <c r="G16" s="116">
        <v>0.1</v>
      </c>
      <c r="H16" s="116">
        <v>28.76</v>
      </c>
      <c r="I16" s="114" t="str">
        <f t="shared" ref="I16:I79" si="2">B16&amp;"|"&amp;D16</f>
        <v>Cereals|700to900</v>
      </c>
      <c r="J16" s="116">
        <f>AVERAGE(G16:G18)</f>
        <v>0.58333333333333337</v>
      </c>
      <c r="K16" s="116">
        <f>AVERAGE(H16:H18)</f>
        <v>23.810000000000002</v>
      </c>
      <c r="L16" s="116">
        <f>AVERAGE(G16:G19)</f>
        <v>0.48249999999999998</v>
      </c>
      <c r="M16" s="116">
        <f>AVERAGE(H16:H19)</f>
        <v>25.5</v>
      </c>
    </row>
    <row r="17" spans="1:13" x14ac:dyDescent="0.2">
      <c r="A17" s="121" t="s">
        <v>32</v>
      </c>
      <c r="B17" s="121" t="s">
        <v>33</v>
      </c>
      <c r="C17" s="121" t="b">
        <v>1</v>
      </c>
      <c r="D17" s="121" t="s">
        <v>34</v>
      </c>
      <c r="E17" s="121" t="s">
        <v>36</v>
      </c>
      <c r="F17" s="114" t="str">
        <f t="shared" ref="F17:F39" si="3">A17&amp;"|"&amp;B17&amp;"|"&amp;C17&amp;"|"&amp;D17&amp;"|"&amp;E17</f>
        <v>Itchen|Cereals|TRUE|700to900|DrainedAr</v>
      </c>
      <c r="G17" s="116">
        <v>0.7</v>
      </c>
      <c r="H17" s="116">
        <v>22.06</v>
      </c>
      <c r="I17" s="114" t="str">
        <f t="shared" si="2"/>
        <v>Cereals|700to900</v>
      </c>
      <c r="J17" s="116">
        <f>AVERAGE(G16:G18)</f>
        <v>0.58333333333333337</v>
      </c>
      <c r="K17" s="116">
        <f>AVERAGE(H16:H18)</f>
        <v>23.810000000000002</v>
      </c>
      <c r="L17" s="116"/>
      <c r="M17" s="116"/>
    </row>
    <row r="18" spans="1:13" x14ac:dyDescent="0.2">
      <c r="A18" s="121" t="s">
        <v>32</v>
      </c>
      <c r="B18" s="121" t="s">
        <v>33</v>
      </c>
      <c r="C18" s="121" t="b">
        <v>1</v>
      </c>
      <c r="D18" s="121" t="s">
        <v>34</v>
      </c>
      <c r="E18" s="121" t="s">
        <v>37</v>
      </c>
      <c r="F18" s="114" t="str">
        <f t="shared" si="3"/>
        <v>Itchen|Cereals|TRUE|700to900|DrainedArGr</v>
      </c>
      <c r="G18" s="116">
        <v>0.95</v>
      </c>
      <c r="H18" s="116">
        <v>20.61</v>
      </c>
      <c r="I18" s="114" t="str">
        <f t="shared" si="2"/>
        <v>Cereals|700to900</v>
      </c>
      <c r="J18" s="116">
        <f>AVERAGE(G16:G18)</f>
        <v>0.58333333333333337</v>
      </c>
      <c r="K18" s="116">
        <f>AVERAGE(H16:H18)</f>
        <v>23.810000000000002</v>
      </c>
      <c r="L18" s="116"/>
      <c r="M18" s="116"/>
    </row>
    <row r="19" spans="1:13" x14ac:dyDescent="0.2">
      <c r="A19" s="121" t="s">
        <v>32</v>
      </c>
      <c r="B19" s="121" t="s">
        <v>33</v>
      </c>
      <c r="C19" s="121" t="b">
        <v>1</v>
      </c>
      <c r="D19" s="121" t="s">
        <v>38</v>
      </c>
      <c r="E19" s="121" t="s">
        <v>35</v>
      </c>
      <c r="F19" s="114" t="str">
        <f t="shared" si="3"/>
        <v>Itchen|Cereals|TRUE|900to1200|FreeDrain</v>
      </c>
      <c r="G19" s="116">
        <v>0.18</v>
      </c>
      <c r="H19" s="116">
        <v>30.57</v>
      </c>
      <c r="I19" s="114" t="str">
        <f t="shared" si="2"/>
        <v>Cereals|900to1200</v>
      </c>
      <c r="J19" s="116">
        <f>AVERAGE(G43)</f>
        <v>1.18</v>
      </c>
      <c r="K19" s="116">
        <f>AVERAGE(H43)</f>
        <v>26.81</v>
      </c>
      <c r="L19" s="116"/>
      <c r="M19" s="116"/>
    </row>
    <row r="20" spans="1:13" x14ac:dyDescent="0.2">
      <c r="A20" s="121" t="s">
        <v>32</v>
      </c>
      <c r="B20" s="121" t="s">
        <v>39</v>
      </c>
      <c r="C20" s="121" t="b">
        <v>1</v>
      </c>
      <c r="D20" s="121" t="s">
        <v>34</v>
      </c>
      <c r="E20" s="121" t="s">
        <v>35</v>
      </c>
      <c r="F20" s="114" t="str">
        <f t="shared" si="3"/>
        <v>Itchen|General|TRUE|700to900|FreeDrain</v>
      </c>
      <c r="G20" s="116">
        <v>0.08</v>
      </c>
      <c r="H20" s="116">
        <v>21.65</v>
      </c>
      <c r="I20" s="114" t="str">
        <f t="shared" si="2"/>
        <v>General|700to900</v>
      </c>
      <c r="J20" s="116">
        <f>AVERAGE(G20:G22)</f>
        <v>0.43333333333333329</v>
      </c>
      <c r="K20" s="116">
        <f>AVERAGE(H20:H22)</f>
        <v>17.546666666666663</v>
      </c>
      <c r="L20" s="116">
        <f>AVERAGE(G20:G23)</f>
        <v>0.36</v>
      </c>
      <c r="M20" s="116">
        <f>AVERAGE(H20:H23)</f>
        <v>18.954999999999998</v>
      </c>
    </row>
    <row r="21" spans="1:13" x14ac:dyDescent="0.2">
      <c r="A21" s="121" t="s">
        <v>32</v>
      </c>
      <c r="B21" s="121" t="s">
        <v>39</v>
      </c>
      <c r="C21" s="121" t="b">
        <v>1</v>
      </c>
      <c r="D21" s="121" t="s">
        <v>34</v>
      </c>
      <c r="E21" s="121" t="s">
        <v>36</v>
      </c>
      <c r="F21" s="114" t="str">
        <f t="shared" si="3"/>
        <v>Itchen|General|TRUE|700to900|DrainedAr</v>
      </c>
      <c r="G21" s="116">
        <v>0.49</v>
      </c>
      <c r="H21" s="116">
        <v>16.23</v>
      </c>
      <c r="I21" s="114" t="str">
        <f t="shared" si="2"/>
        <v>General|700to900</v>
      </c>
      <c r="J21" s="116">
        <f>AVERAGE(G20:G22)</f>
        <v>0.43333333333333329</v>
      </c>
      <c r="K21" s="116">
        <f>AVERAGE(H20:H22)</f>
        <v>17.546666666666663</v>
      </c>
      <c r="L21" s="116"/>
      <c r="M21" s="116"/>
    </row>
    <row r="22" spans="1:13" x14ac:dyDescent="0.2">
      <c r="A22" s="121" t="s">
        <v>32</v>
      </c>
      <c r="B22" s="121" t="s">
        <v>39</v>
      </c>
      <c r="C22" s="121" t="b">
        <v>1</v>
      </c>
      <c r="D22" s="121" t="s">
        <v>34</v>
      </c>
      <c r="E22" s="121" t="s">
        <v>37</v>
      </c>
      <c r="F22" s="114" t="str">
        <f t="shared" si="3"/>
        <v>Itchen|General|TRUE|700to900|DrainedArGr</v>
      </c>
      <c r="G22" s="116">
        <v>0.73</v>
      </c>
      <c r="H22" s="116">
        <v>14.76</v>
      </c>
      <c r="I22" s="114" t="str">
        <f t="shared" si="2"/>
        <v>General|700to900</v>
      </c>
      <c r="J22" s="116">
        <f>AVERAGE(G20:G22)</f>
        <v>0.43333333333333329</v>
      </c>
      <c r="K22" s="116">
        <f>AVERAGE(H20:H22)</f>
        <v>17.546666666666663</v>
      </c>
      <c r="L22" s="116"/>
      <c r="M22" s="116"/>
    </row>
    <row r="23" spans="1:13" x14ac:dyDescent="0.2">
      <c r="A23" s="121" t="s">
        <v>32</v>
      </c>
      <c r="B23" s="121" t="s">
        <v>39</v>
      </c>
      <c r="C23" s="121" t="b">
        <v>1</v>
      </c>
      <c r="D23" s="121" t="s">
        <v>38</v>
      </c>
      <c r="E23" s="121" t="s">
        <v>35</v>
      </c>
      <c r="F23" s="114" t="str">
        <f t="shared" si="3"/>
        <v>Itchen|General|TRUE|900to1200|FreeDrain</v>
      </c>
      <c r="G23" s="116">
        <v>0.14000000000000001</v>
      </c>
      <c r="H23" s="116">
        <v>23.18</v>
      </c>
      <c r="I23" s="114" t="str">
        <f t="shared" si="2"/>
        <v>General|900to1200</v>
      </c>
      <c r="J23" s="116">
        <f>AVERAGE(G23,G47:G48)</f>
        <v>0.66</v>
      </c>
      <c r="K23" s="116">
        <f>AVERAGE(H23,H47:H48)</f>
        <v>18.14</v>
      </c>
      <c r="L23" s="116"/>
      <c r="M23" s="116"/>
    </row>
    <row r="24" spans="1:13" x14ac:dyDescent="0.2">
      <c r="A24" s="121" t="s">
        <v>32</v>
      </c>
      <c r="B24" s="121" t="s">
        <v>40</v>
      </c>
      <c r="C24" s="121" t="b">
        <v>1</v>
      </c>
      <c r="D24" s="121" t="s">
        <v>34</v>
      </c>
      <c r="E24" s="121" t="s">
        <v>35</v>
      </c>
      <c r="F24" s="114" t="str">
        <f t="shared" si="3"/>
        <v>Itchen|Horticulture|TRUE|700to900|FreeDrain</v>
      </c>
      <c r="G24" s="116">
        <v>0.09</v>
      </c>
      <c r="H24" s="116">
        <v>21.82</v>
      </c>
      <c r="I24" s="114" t="str">
        <f t="shared" si="2"/>
        <v>Horticulture|700to900</v>
      </c>
      <c r="J24" s="116">
        <f>AVERAGE(G24,G25)</f>
        <v>0.47</v>
      </c>
      <c r="K24" s="116">
        <f>AVERAGE(H24,H25)</f>
        <v>18.11</v>
      </c>
      <c r="L24" s="116">
        <f>AVERAGE(G24:G26)</f>
        <v>0.36666666666666664</v>
      </c>
      <c r="M24" s="116">
        <f>AVERAGE(H24:H26)</f>
        <v>19.88</v>
      </c>
    </row>
    <row r="25" spans="1:13" x14ac:dyDescent="0.2">
      <c r="A25" s="121" t="s">
        <v>32</v>
      </c>
      <c r="B25" s="121" t="s">
        <v>40</v>
      </c>
      <c r="C25" s="121" t="b">
        <v>1</v>
      </c>
      <c r="D25" s="121" t="s">
        <v>34</v>
      </c>
      <c r="E25" s="121" t="s">
        <v>37</v>
      </c>
      <c r="F25" s="114" t="str">
        <f t="shared" si="3"/>
        <v>Itchen|Horticulture|TRUE|700to900|DrainedArGr</v>
      </c>
      <c r="G25" s="116">
        <v>0.85</v>
      </c>
      <c r="H25" s="116">
        <v>14.4</v>
      </c>
      <c r="I25" s="114" t="str">
        <f t="shared" si="2"/>
        <v>Horticulture|700to900</v>
      </c>
      <c r="J25" s="116">
        <f>AVERAGE(G24,G25)</f>
        <v>0.47</v>
      </c>
      <c r="K25" s="116">
        <f>AVERAGE(H24,H25)</f>
        <v>18.11</v>
      </c>
      <c r="L25" s="116"/>
      <c r="M25" s="116"/>
    </row>
    <row r="26" spans="1:13" x14ac:dyDescent="0.2">
      <c r="A26" s="121" t="s">
        <v>32</v>
      </c>
      <c r="B26" s="121" t="s">
        <v>40</v>
      </c>
      <c r="C26" s="121" t="b">
        <v>1</v>
      </c>
      <c r="D26" s="121" t="s">
        <v>38</v>
      </c>
      <c r="E26" s="121" t="s">
        <v>35</v>
      </c>
      <c r="F26" s="114" t="str">
        <f t="shared" si="3"/>
        <v>Itchen|Horticulture|TRUE|900to1200|FreeDrain</v>
      </c>
      <c r="G26" s="116">
        <v>0.16</v>
      </c>
      <c r="H26" s="116">
        <v>23.42</v>
      </c>
      <c r="I26" s="114" t="str">
        <f t="shared" si="2"/>
        <v>Horticulture|900to1200</v>
      </c>
      <c r="J26" s="116">
        <f>AVERAGE(G26,G52:G53)</f>
        <v>0.79999999999999993</v>
      </c>
      <c r="K26" s="116">
        <f>AVERAGE(H26,H52:H53)</f>
        <v>19.103333333333335</v>
      </c>
      <c r="L26" s="116"/>
      <c r="M26" s="116"/>
    </row>
    <row r="27" spans="1:13" x14ac:dyDescent="0.2">
      <c r="A27" s="121" t="s">
        <v>32</v>
      </c>
      <c r="B27" s="121" t="s">
        <v>41</v>
      </c>
      <c r="C27" s="121" t="b">
        <v>1</v>
      </c>
      <c r="D27" s="121" t="s">
        <v>34</v>
      </c>
      <c r="E27" s="121" t="s">
        <v>35</v>
      </c>
      <c r="F27" s="114" t="str">
        <f t="shared" si="3"/>
        <v>Itchen|Poultry|TRUE|700to900|FreeDrain</v>
      </c>
      <c r="G27" s="116">
        <v>0.09</v>
      </c>
      <c r="H27" s="116">
        <v>78.56</v>
      </c>
      <c r="I27" s="114" t="str">
        <f t="shared" si="2"/>
        <v>Poultry|700to900</v>
      </c>
      <c r="J27" s="116">
        <f>AVERAGE(G27,G58)</f>
        <v>0.51500000000000001</v>
      </c>
      <c r="K27" s="116">
        <f>AVERAGE(H27,H58)</f>
        <v>85.43</v>
      </c>
      <c r="L27" s="116">
        <f>AVERAGE(G27:G29)</f>
        <v>0.13</v>
      </c>
      <c r="M27" s="116">
        <f>AVERAGE(H27:H29)</f>
        <v>81.13666666666667</v>
      </c>
    </row>
    <row r="28" spans="1:13" x14ac:dyDescent="0.2">
      <c r="A28" s="121" t="s">
        <v>32</v>
      </c>
      <c r="B28" s="121" t="s">
        <v>41</v>
      </c>
      <c r="C28" s="121" t="b">
        <v>0</v>
      </c>
      <c r="D28" s="121" t="s">
        <v>38</v>
      </c>
      <c r="E28" s="121" t="s">
        <v>35</v>
      </c>
      <c r="F28" s="114" t="str">
        <f t="shared" si="3"/>
        <v>Itchen|Poultry|FALSE|900to1200|FreeDrain</v>
      </c>
      <c r="G28" s="116">
        <v>0.15</v>
      </c>
      <c r="H28" s="116">
        <v>82.28</v>
      </c>
      <c r="I28" s="114" t="str">
        <f t="shared" si="2"/>
        <v>Poultry|900to1200</v>
      </c>
      <c r="J28" s="116">
        <f>AVERAGE(G28,G59:G60)</f>
        <v>0.82666666666666666</v>
      </c>
      <c r="K28" s="116">
        <f>AVERAGE(H28,H59:H60)</f>
        <v>107.81</v>
      </c>
      <c r="L28" s="116"/>
      <c r="M28" s="116"/>
    </row>
    <row r="29" spans="1:13" x14ac:dyDescent="0.2">
      <c r="A29" s="121" t="s">
        <v>32</v>
      </c>
      <c r="B29" s="121" t="s">
        <v>41</v>
      </c>
      <c r="C29" s="121" t="b">
        <v>1</v>
      </c>
      <c r="D29" s="121" t="s">
        <v>38</v>
      </c>
      <c r="E29" s="121" t="s">
        <v>35</v>
      </c>
      <c r="F29" s="114" t="str">
        <f t="shared" si="3"/>
        <v>Itchen|Poultry|TRUE|900to1200|FreeDrain</v>
      </c>
      <c r="G29" s="116">
        <v>0.15</v>
      </c>
      <c r="H29" s="116">
        <v>82.57</v>
      </c>
      <c r="I29" s="114" t="str">
        <f t="shared" si="2"/>
        <v>Poultry|900to1200</v>
      </c>
      <c r="J29" s="116">
        <f>AVERAGE(G29,G59:G60)</f>
        <v>0.82666666666666666</v>
      </c>
      <c r="K29" s="116">
        <f>AVERAGE(H29,H59:H60)</f>
        <v>107.90666666666665</v>
      </c>
      <c r="L29" s="116"/>
      <c r="M29" s="116"/>
    </row>
    <row r="30" spans="1:13" x14ac:dyDescent="0.2">
      <c r="A30" s="121" t="s">
        <v>32</v>
      </c>
      <c r="B30" s="121" t="s">
        <v>42</v>
      </c>
      <c r="C30" s="121" t="b">
        <v>1</v>
      </c>
      <c r="D30" s="121" t="s">
        <v>34</v>
      </c>
      <c r="E30" s="121" t="s">
        <v>35</v>
      </c>
      <c r="F30" s="114" t="str">
        <f t="shared" si="3"/>
        <v>Itchen|Dairy|TRUE|700to900|FreeDrain</v>
      </c>
      <c r="G30" s="116">
        <v>0.12</v>
      </c>
      <c r="H30" s="116">
        <v>47.12</v>
      </c>
      <c r="I30" s="114" t="str">
        <f t="shared" si="2"/>
        <v>Dairy|700to900</v>
      </c>
      <c r="J30" s="116">
        <f>AVERAGE(G30:G31)</f>
        <v>0.67999999999999994</v>
      </c>
      <c r="K30" s="116">
        <f>AVERAGE(H30:H31)</f>
        <v>34.14</v>
      </c>
      <c r="L30" s="116">
        <f>AVERAGE(G30:G31)</f>
        <v>0.67999999999999994</v>
      </c>
      <c r="M30" s="116">
        <f>AVERAGE(H30:H31)</f>
        <v>34.14</v>
      </c>
    </row>
    <row r="31" spans="1:13" x14ac:dyDescent="0.2">
      <c r="A31" s="121" t="s">
        <v>32</v>
      </c>
      <c r="B31" s="121" t="s">
        <v>42</v>
      </c>
      <c r="C31" s="121" t="b">
        <v>1</v>
      </c>
      <c r="D31" s="121" t="s">
        <v>34</v>
      </c>
      <c r="E31" s="121" t="s">
        <v>37</v>
      </c>
      <c r="F31" s="114" t="str">
        <f t="shared" si="3"/>
        <v>Itchen|Dairy|TRUE|700to900|DrainedArGr</v>
      </c>
      <c r="G31" s="116">
        <v>1.24</v>
      </c>
      <c r="H31" s="116">
        <v>21.16</v>
      </c>
      <c r="I31" s="114" t="str">
        <f t="shared" si="2"/>
        <v>Dairy|700to900</v>
      </c>
      <c r="J31" s="116">
        <f>AVERAGE(G30:G31)</f>
        <v>0.67999999999999994</v>
      </c>
      <c r="K31" s="116">
        <f>AVERAGE(H30:H31)</f>
        <v>34.14</v>
      </c>
      <c r="L31" s="116"/>
      <c r="M31" s="116"/>
    </row>
    <row r="32" spans="1:13" x14ac:dyDescent="0.2">
      <c r="A32" s="121" t="s">
        <v>32</v>
      </c>
      <c r="B32" s="121" t="s">
        <v>43</v>
      </c>
      <c r="C32" s="121" t="b">
        <v>1</v>
      </c>
      <c r="D32" s="121" t="s">
        <v>34</v>
      </c>
      <c r="E32" s="121" t="s">
        <v>35</v>
      </c>
      <c r="F32" s="114" t="str">
        <f t="shared" si="3"/>
        <v>Itchen|Lowland|TRUE|700to900|FreeDrain</v>
      </c>
      <c r="G32" s="116">
        <v>0.06</v>
      </c>
      <c r="H32" s="116">
        <v>13.13</v>
      </c>
      <c r="I32" s="114" t="str">
        <f t="shared" si="2"/>
        <v>Lowland|700to900</v>
      </c>
      <c r="J32" s="116">
        <f>AVERAGE(G32:G34)</f>
        <v>0.27999999999999997</v>
      </c>
      <c r="K32" s="116">
        <f>AVERAGE(H32:H34)</f>
        <v>10.209999999999999</v>
      </c>
      <c r="L32" s="116">
        <f>AVERAGE(G32:G36)</f>
        <v>0.21200000000000002</v>
      </c>
      <c r="M32" s="116">
        <f>AVERAGE(H32:H36)</f>
        <v>11.756</v>
      </c>
    </row>
    <row r="33" spans="1:14" x14ac:dyDescent="0.2">
      <c r="A33" s="121" t="s">
        <v>32</v>
      </c>
      <c r="B33" s="121" t="s">
        <v>43</v>
      </c>
      <c r="C33" s="121" t="b">
        <v>1</v>
      </c>
      <c r="D33" s="121" t="s">
        <v>34</v>
      </c>
      <c r="E33" s="121" t="s">
        <v>36</v>
      </c>
      <c r="F33" s="114" t="str">
        <f t="shared" si="3"/>
        <v>Itchen|Lowland|TRUE|700to900|DrainedAr</v>
      </c>
      <c r="G33" s="116">
        <v>0.18</v>
      </c>
      <c r="H33" s="116">
        <v>10.16</v>
      </c>
      <c r="I33" s="114" t="str">
        <f t="shared" si="2"/>
        <v>Lowland|700to900</v>
      </c>
      <c r="J33" s="116">
        <f>AVERAGE(G32:G34)</f>
        <v>0.27999999999999997</v>
      </c>
      <c r="K33" s="116">
        <f>AVERAGE(H32:H34)</f>
        <v>10.209999999999999</v>
      </c>
      <c r="L33" s="116"/>
      <c r="M33" s="116"/>
    </row>
    <row r="34" spans="1:14" x14ac:dyDescent="0.2">
      <c r="A34" s="121" t="s">
        <v>32</v>
      </c>
      <c r="B34" s="121" t="s">
        <v>43</v>
      </c>
      <c r="C34" s="121" t="b">
        <v>1</v>
      </c>
      <c r="D34" s="121" t="s">
        <v>34</v>
      </c>
      <c r="E34" s="121" t="s">
        <v>37</v>
      </c>
      <c r="F34" s="114" t="str">
        <f t="shared" si="3"/>
        <v>Itchen|Lowland|TRUE|700to900|DrainedArGr</v>
      </c>
      <c r="G34" s="116">
        <v>0.6</v>
      </c>
      <c r="H34" s="116">
        <v>7.34</v>
      </c>
      <c r="I34" s="114" t="str">
        <f t="shared" si="2"/>
        <v>Lowland|700to900</v>
      </c>
      <c r="J34" s="116">
        <f>AVERAGE(G32:G34)</f>
        <v>0.27999999999999997</v>
      </c>
      <c r="K34" s="116">
        <f>AVERAGE(H32:H34)</f>
        <v>10.209999999999999</v>
      </c>
      <c r="L34" s="116"/>
      <c r="M34" s="116"/>
      <c r="N34" s="114"/>
    </row>
    <row r="35" spans="1:14" x14ac:dyDescent="0.2">
      <c r="A35" s="121" t="s">
        <v>32</v>
      </c>
      <c r="B35" s="121" t="s">
        <v>43</v>
      </c>
      <c r="C35" s="121" t="b">
        <v>0</v>
      </c>
      <c r="D35" s="121" t="s">
        <v>38</v>
      </c>
      <c r="E35" s="121" t="s">
        <v>35</v>
      </c>
      <c r="F35" s="114" t="str">
        <f t="shared" si="3"/>
        <v>Itchen|Lowland|FALSE|900to1200|FreeDrain</v>
      </c>
      <c r="G35" s="116">
        <v>0.11</v>
      </c>
      <c r="H35" s="116">
        <v>14.12</v>
      </c>
      <c r="I35" s="114" t="str">
        <f t="shared" si="2"/>
        <v>Lowland|900to1200</v>
      </c>
      <c r="J35" s="116">
        <f>AVERAGE(G35,G68:G69)</f>
        <v>0.49666666666666665</v>
      </c>
      <c r="K35" s="116">
        <f>AVERAGE(H35,H68:H69)</f>
        <v>12.299999999999999</v>
      </c>
      <c r="L35" s="116"/>
      <c r="M35" s="116"/>
    </row>
    <row r="36" spans="1:14" x14ac:dyDescent="0.2">
      <c r="A36" s="121" t="s">
        <v>32</v>
      </c>
      <c r="B36" s="121" t="s">
        <v>43</v>
      </c>
      <c r="C36" s="121" t="b">
        <v>1</v>
      </c>
      <c r="D36" s="121" t="s">
        <v>38</v>
      </c>
      <c r="E36" s="121" t="s">
        <v>35</v>
      </c>
      <c r="F36" s="114" t="str">
        <f t="shared" si="3"/>
        <v>Itchen|Lowland|TRUE|900to1200|FreeDrain</v>
      </c>
      <c r="G36" s="116">
        <v>0.11</v>
      </c>
      <c r="H36" s="116">
        <v>14.03</v>
      </c>
      <c r="I36" s="114" t="str">
        <f t="shared" si="2"/>
        <v>Lowland|900to1200</v>
      </c>
      <c r="J36" s="116">
        <f>AVERAGE(G36,G68:G69)</f>
        <v>0.49666666666666665</v>
      </c>
      <c r="K36" s="116">
        <f>AVERAGE(H36,H68:H69)</f>
        <v>12.270000000000001</v>
      </c>
      <c r="L36" s="116"/>
      <c r="M36" s="116"/>
    </row>
    <row r="37" spans="1:14" x14ac:dyDescent="0.2">
      <c r="A37" s="121" t="s">
        <v>32</v>
      </c>
      <c r="B37" s="121" t="s">
        <v>44</v>
      </c>
      <c r="C37" s="121" t="b">
        <v>1</v>
      </c>
      <c r="D37" s="121" t="s">
        <v>34</v>
      </c>
      <c r="E37" s="121" t="s">
        <v>35</v>
      </c>
      <c r="F37" s="114" t="str">
        <f t="shared" si="3"/>
        <v>Itchen|Mixed|TRUE|700to900|FreeDrain</v>
      </c>
      <c r="G37" s="116">
        <v>0.1</v>
      </c>
      <c r="H37" s="116">
        <v>26.32</v>
      </c>
      <c r="I37" s="114" t="str">
        <f t="shared" si="2"/>
        <v>Mixed|700to900</v>
      </c>
      <c r="J37" s="116">
        <f>AVERAGE(G37:G38)</f>
        <v>0.33499999999999996</v>
      </c>
      <c r="K37" s="116">
        <f>AVERAGE(H37:H38)</f>
        <v>23.259999999999998</v>
      </c>
      <c r="L37" s="116">
        <f>AVERAGE(G37:G39)</f>
        <v>0.27999999999999997</v>
      </c>
      <c r="M37" s="116">
        <f>AVERAGE(H37:H39)</f>
        <v>24.823333333333334</v>
      </c>
    </row>
    <row r="38" spans="1:14" x14ac:dyDescent="0.2">
      <c r="A38" s="121" t="s">
        <v>32</v>
      </c>
      <c r="B38" s="121" t="s">
        <v>44</v>
      </c>
      <c r="C38" s="121" t="b">
        <v>1</v>
      </c>
      <c r="D38" s="121" t="s">
        <v>34</v>
      </c>
      <c r="E38" s="121" t="s">
        <v>36</v>
      </c>
      <c r="F38" s="114" t="str">
        <f t="shared" si="3"/>
        <v>Itchen|Mixed|TRUE|700to900|DrainedAr</v>
      </c>
      <c r="G38" s="116">
        <v>0.56999999999999995</v>
      </c>
      <c r="H38" s="116">
        <v>20.2</v>
      </c>
      <c r="I38" s="114" t="str">
        <f t="shared" si="2"/>
        <v>Mixed|700to900</v>
      </c>
      <c r="J38" s="116">
        <f>AVERAGE(G37:G38)</f>
        <v>0.33499999999999996</v>
      </c>
      <c r="K38" s="116">
        <f>AVERAGE(H37:H38)</f>
        <v>23.259999999999998</v>
      </c>
      <c r="L38" s="116"/>
      <c r="M38" s="116"/>
    </row>
    <row r="39" spans="1:14" x14ac:dyDescent="0.2">
      <c r="A39" s="121" t="s">
        <v>32</v>
      </c>
      <c r="B39" s="121" t="s">
        <v>44</v>
      </c>
      <c r="C39" s="121" t="b">
        <v>1</v>
      </c>
      <c r="D39" s="121" t="s">
        <v>38</v>
      </c>
      <c r="E39" s="121" t="s">
        <v>35</v>
      </c>
      <c r="F39" s="114" t="str">
        <f t="shared" si="3"/>
        <v>Itchen|Mixed|TRUE|900to1200|FreeDrain</v>
      </c>
      <c r="G39" s="116">
        <v>0.17</v>
      </c>
      <c r="H39" s="116">
        <v>27.95</v>
      </c>
      <c r="I39" s="114" t="str">
        <f t="shared" si="2"/>
        <v>Mixed|900to1200</v>
      </c>
      <c r="J39" s="116">
        <f>AVERAGE(G39,G72:G73)</f>
        <v>0.79</v>
      </c>
      <c r="K39" s="116">
        <f>AVERAGE(H39,H72:H73)</f>
        <v>23.653333333333336</v>
      </c>
      <c r="L39" s="116"/>
      <c r="M39" s="116"/>
    </row>
    <row r="40" spans="1:14" x14ac:dyDescent="0.2">
      <c r="A40" s="121" t="s">
        <v>45</v>
      </c>
      <c r="B40" s="121" t="s">
        <v>33</v>
      </c>
      <c r="C40" s="121" t="b">
        <v>1</v>
      </c>
      <c r="D40" s="121" t="s">
        <v>34</v>
      </c>
      <c r="E40" s="121" t="s">
        <v>35</v>
      </c>
      <c r="F40" s="114" t="str">
        <f t="shared" ref="F40:F89" si="4">B40&amp;"|"&amp;C40&amp;"|"&amp;D40&amp;"|"&amp;E40</f>
        <v>Cereals|TRUE|700to900|FreeDrain</v>
      </c>
      <c r="G40" s="116">
        <v>0.13</v>
      </c>
      <c r="H40" s="116">
        <v>27.04</v>
      </c>
      <c r="I40" s="114" t="str">
        <f t="shared" si="2"/>
        <v>Cereals|700to900</v>
      </c>
      <c r="J40" s="116">
        <f>G40</f>
        <v>0.13</v>
      </c>
      <c r="K40" s="116">
        <f>H40</f>
        <v>27.04</v>
      </c>
      <c r="L40" s="116"/>
      <c r="M40" s="116"/>
    </row>
    <row r="41" spans="1:14" x14ac:dyDescent="0.2">
      <c r="A41" s="121" t="s">
        <v>45</v>
      </c>
      <c r="B41" s="121" t="s">
        <v>33</v>
      </c>
      <c r="C41" s="121" t="b">
        <v>1</v>
      </c>
      <c r="D41" s="121" t="s">
        <v>34</v>
      </c>
      <c r="E41" s="121" t="s">
        <v>36</v>
      </c>
      <c r="F41" s="114" t="str">
        <f t="shared" si="4"/>
        <v>Cereals|TRUE|700to900|DrainedAr</v>
      </c>
      <c r="G41" s="116">
        <v>0.62</v>
      </c>
      <c r="H41" s="116">
        <v>20.93</v>
      </c>
      <c r="I41" s="114" t="str">
        <f t="shared" si="2"/>
        <v>Cereals|700to900</v>
      </c>
      <c r="J41" s="116">
        <f t="shared" ref="J41:K89" si="5">G41</f>
        <v>0.62</v>
      </c>
      <c r="K41" s="116">
        <f t="shared" si="5"/>
        <v>20.93</v>
      </c>
      <c r="L41" s="116"/>
      <c r="M41" s="116"/>
    </row>
    <row r="42" spans="1:14" x14ac:dyDescent="0.2">
      <c r="A42" s="121" t="s">
        <v>45</v>
      </c>
      <c r="B42" s="121" t="s">
        <v>33</v>
      </c>
      <c r="C42" s="121" t="b">
        <v>1</v>
      </c>
      <c r="D42" s="121" t="s">
        <v>34</v>
      </c>
      <c r="E42" s="121" t="s">
        <v>37</v>
      </c>
      <c r="F42" s="114" t="str">
        <f t="shared" si="4"/>
        <v>Cereals|TRUE|700to900|DrainedArGr</v>
      </c>
      <c r="G42" s="116">
        <v>0.87</v>
      </c>
      <c r="H42" s="116">
        <v>19.59</v>
      </c>
      <c r="I42" s="114" t="str">
        <f t="shared" si="2"/>
        <v>Cereals|700to900</v>
      </c>
      <c r="J42" s="116">
        <f t="shared" si="5"/>
        <v>0.87</v>
      </c>
      <c r="K42" s="116">
        <f t="shared" si="5"/>
        <v>19.59</v>
      </c>
      <c r="L42" s="116"/>
      <c r="M42" s="116"/>
    </row>
    <row r="43" spans="1:14" x14ac:dyDescent="0.2">
      <c r="A43" s="121" t="s">
        <v>45</v>
      </c>
      <c r="B43" s="121" t="s">
        <v>33</v>
      </c>
      <c r="C43" s="121" t="b">
        <v>1</v>
      </c>
      <c r="D43" s="121" t="s">
        <v>38</v>
      </c>
      <c r="E43" s="121" t="s">
        <v>36</v>
      </c>
      <c r="F43" s="114" t="str">
        <f t="shared" si="4"/>
        <v>Cereals|TRUE|900to1200|DrainedAr</v>
      </c>
      <c r="G43" s="116">
        <v>1.18</v>
      </c>
      <c r="H43" s="116">
        <v>26.81</v>
      </c>
      <c r="I43" s="114" t="str">
        <f t="shared" si="2"/>
        <v>Cereals|900to1200</v>
      </c>
      <c r="J43" s="116">
        <f t="shared" si="5"/>
        <v>1.18</v>
      </c>
      <c r="K43" s="116">
        <f t="shared" si="5"/>
        <v>26.81</v>
      </c>
      <c r="L43" s="116"/>
      <c r="M43" s="116"/>
    </row>
    <row r="44" spans="1:14" x14ac:dyDescent="0.2">
      <c r="A44" s="121" t="s">
        <v>45</v>
      </c>
      <c r="B44" s="121" t="s">
        <v>39</v>
      </c>
      <c r="C44" s="121" t="b">
        <v>1</v>
      </c>
      <c r="D44" s="121" t="s">
        <v>34</v>
      </c>
      <c r="E44" s="121" t="s">
        <v>35</v>
      </c>
      <c r="F44" s="114" t="str">
        <f t="shared" si="4"/>
        <v>General|TRUE|700to900|FreeDrain</v>
      </c>
      <c r="G44" s="116">
        <v>0.1</v>
      </c>
      <c r="H44" s="116">
        <v>17.95</v>
      </c>
      <c r="I44" s="114" t="str">
        <f t="shared" si="2"/>
        <v>General|700to900</v>
      </c>
      <c r="J44" s="116">
        <f t="shared" si="5"/>
        <v>0.1</v>
      </c>
      <c r="K44" s="116">
        <f t="shared" si="5"/>
        <v>17.95</v>
      </c>
      <c r="L44" s="116"/>
      <c r="M44" s="116"/>
    </row>
    <row r="45" spans="1:14" x14ac:dyDescent="0.2">
      <c r="A45" s="121" t="s">
        <v>45</v>
      </c>
      <c r="B45" s="121" t="s">
        <v>39</v>
      </c>
      <c r="C45" s="121" t="b">
        <v>1</v>
      </c>
      <c r="D45" s="121" t="s">
        <v>34</v>
      </c>
      <c r="E45" s="121" t="s">
        <v>36</v>
      </c>
      <c r="F45" s="114" t="str">
        <f t="shared" si="4"/>
        <v>General|TRUE|700to900|DrainedAr</v>
      </c>
      <c r="G45" s="116">
        <v>0.4</v>
      </c>
      <c r="H45" s="116">
        <v>13.43</v>
      </c>
      <c r="I45" s="114" t="str">
        <f t="shared" si="2"/>
        <v>General|700to900</v>
      </c>
      <c r="J45" s="116">
        <f t="shared" si="5"/>
        <v>0.4</v>
      </c>
      <c r="K45" s="116">
        <f t="shared" si="5"/>
        <v>13.43</v>
      </c>
      <c r="L45" s="116"/>
      <c r="M45" s="116"/>
    </row>
    <row r="46" spans="1:14" x14ac:dyDescent="0.2">
      <c r="A46" s="121" t="s">
        <v>45</v>
      </c>
      <c r="B46" s="121" t="s">
        <v>39</v>
      </c>
      <c r="C46" s="121" t="b">
        <v>1</v>
      </c>
      <c r="D46" s="121" t="s">
        <v>34</v>
      </c>
      <c r="E46" s="121" t="s">
        <v>37</v>
      </c>
      <c r="F46" s="114" t="str">
        <f t="shared" si="4"/>
        <v>General|TRUE|700to900|DrainedArGr</v>
      </c>
      <c r="G46" s="116">
        <v>0.64</v>
      </c>
      <c r="H46" s="116">
        <v>12.05</v>
      </c>
      <c r="I46" s="114" t="str">
        <f t="shared" si="2"/>
        <v>General|700to900</v>
      </c>
      <c r="J46" s="116">
        <f t="shared" si="5"/>
        <v>0.64</v>
      </c>
      <c r="K46" s="116">
        <f t="shared" si="5"/>
        <v>12.05</v>
      </c>
      <c r="L46" s="116"/>
      <c r="M46" s="116"/>
    </row>
    <row r="47" spans="1:14" x14ac:dyDescent="0.2">
      <c r="A47" s="121" t="s">
        <v>45</v>
      </c>
      <c r="B47" s="121" t="s">
        <v>39</v>
      </c>
      <c r="C47" s="121" t="b">
        <v>1</v>
      </c>
      <c r="D47" s="121" t="s">
        <v>38</v>
      </c>
      <c r="E47" s="121" t="s">
        <v>36</v>
      </c>
      <c r="F47" s="114" t="str">
        <f t="shared" si="4"/>
        <v>General|TRUE|900to1200|DrainedAr</v>
      </c>
      <c r="G47" s="116">
        <v>0.76</v>
      </c>
      <c r="H47" s="116">
        <v>17.149999999999999</v>
      </c>
      <c r="I47" s="114" t="str">
        <f t="shared" si="2"/>
        <v>General|900to1200</v>
      </c>
      <c r="J47" s="116">
        <f t="shared" si="5"/>
        <v>0.76</v>
      </c>
      <c r="K47" s="116">
        <f t="shared" si="5"/>
        <v>17.149999999999999</v>
      </c>
      <c r="L47" s="116"/>
      <c r="M47" s="116"/>
    </row>
    <row r="48" spans="1:14" x14ac:dyDescent="0.2">
      <c r="A48" s="121" t="s">
        <v>45</v>
      </c>
      <c r="B48" s="121" t="s">
        <v>39</v>
      </c>
      <c r="C48" s="121" t="b">
        <v>1</v>
      </c>
      <c r="D48" s="121" t="s">
        <v>38</v>
      </c>
      <c r="E48" s="121" t="s">
        <v>37</v>
      </c>
      <c r="F48" s="114" t="str">
        <f t="shared" si="4"/>
        <v>General|TRUE|900to1200|DrainedArGr</v>
      </c>
      <c r="G48" s="116">
        <v>1.08</v>
      </c>
      <c r="H48" s="116">
        <v>14.09</v>
      </c>
      <c r="I48" s="114" t="str">
        <f t="shared" si="2"/>
        <v>General|900to1200</v>
      </c>
      <c r="J48" s="116">
        <f t="shared" si="5"/>
        <v>1.08</v>
      </c>
      <c r="K48" s="116">
        <f t="shared" si="5"/>
        <v>14.09</v>
      </c>
      <c r="L48" s="116"/>
      <c r="M48" s="116"/>
    </row>
    <row r="49" spans="1:13" x14ac:dyDescent="0.2">
      <c r="A49" s="121" t="s">
        <v>45</v>
      </c>
      <c r="B49" s="121" t="s">
        <v>40</v>
      </c>
      <c r="C49" s="121" t="b">
        <v>1</v>
      </c>
      <c r="D49" s="121" t="s">
        <v>34</v>
      </c>
      <c r="E49" s="121" t="s">
        <v>35</v>
      </c>
      <c r="F49" s="114" t="str">
        <f t="shared" si="4"/>
        <v>Horticulture|TRUE|700to900|FreeDrain</v>
      </c>
      <c r="G49" s="116">
        <v>0.11</v>
      </c>
      <c r="H49" s="116">
        <v>20.27</v>
      </c>
      <c r="I49" s="114" t="str">
        <f t="shared" si="2"/>
        <v>Horticulture|700to900</v>
      </c>
      <c r="J49" s="116">
        <f t="shared" si="5"/>
        <v>0.11</v>
      </c>
      <c r="K49" s="116">
        <f t="shared" si="5"/>
        <v>20.27</v>
      </c>
      <c r="L49" s="116"/>
      <c r="M49" s="116"/>
    </row>
    <row r="50" spans="1:13" x14ac:dyDescent="0.2">
      <c r="A50" s="121" t="s">
        <v>45</v>
      </c>
      <c r="B50" s="121" t="s">
        <v>40</v>
      </c>
      <c r="C50" s="121" t="b">
        <v>1</v>
      </c>
      <c r="D50" s="121" t="s">
        <v>34</v>
      </c>
      <c r="E50" s="121" t="s">
        <v>36</v>
      </c>
      <c r="F50" s="114" t="str">
        <f t="shared" si="4"/>
        <v>Horticulture|TRUE|700to900|DrainedAr</v>
      </c>
      <c r="G50" s="116">
        <v>0.52</v>
      </c>
      <c r="H50" s="116">
        <v>14.82</v>
      </c>
      <c r="I50" s="114" t="str">
        <f t="shared" si="2"/>
        <v>Horticulture|700to900</v>
      </c>
      <c r="J50" s="116">
        <f t="shared" si="5"/>
        <v>0.52</v>
      </c>
      <c r="K50" s="116">
        <f t="shared" si="5"/>
        <v>14.82</v>
      </c>
      <c r="L50" s="116"/>
      <c r="M50" s="116"/>
    </row>
    <row r="51" spans="1:13" x14ac:dyDescent="0.2">
      <c r="A51" s="121" t="s">
        <v>45</v>
      </c>
      <c r="B51" s="121" t="s">
        <v>40</v>
      </c>
      <c r="C51" s="121" t="b">
        <v>1</v>
      </c>
      <c r="D51" s="121" t="s">
        <v>34</v>
      </c>
      <c r="E51" s="121" t="s">
        <v>37</v>
      </c>
      <c r="F51" s="114" t="str">
        <f t="shared" si="4"/>
        <v>Horticulture|TRUE|700to900|DrainedArGr</v>
      </c>
      <c r="G51" s="116">
        <v>0.77</v>
      </c>
      <c r="H51" s="116">
        <v>13.18</v>
      </c>
      <c r="I51" s="114" t="str">
        <f t="shared" si="2"/>
        <v>Horticulture|700to900</v>
      </c>
      <c r="J51" s="116">
        <f t="shared" si="5"/>
        <v>0.77</v>
      </c>
      <c r="K51" s="116">
        <f t="shared" si="5"/>
        <v>13.18</v>
      </c>
      <c r="L51" s="116"/>
      <c r="M51" s="116"/>
    </row>
    <row r="52" spans="1:13" x14ac:dyDescent="0.2">
      <c r="A52" s="121" t="s">
        <v>45</v>
      </c>
      <c r="B52" s="121" t="s">
        <v>40</v>
      </c>
      <c r="C52" s="121" t="b">
        <v>1</v>
      </c>
      <c r="D52" s="121" t="s">
        <v>38</v>
      </c>
      <c r="E52" s="121" t="s">
        <v>36</v>
      </c>
      <c r="F52" s="114" t="str">
        <f t="shared" si="4"/>
        <v>Horticulture|TRUE|900to1200|DrainedAr</v>
      </c>
      <c r="G52" s="116">
        <v>0.98</v>
      </c>
      <c r="H52" s="116">
        <v>18.78</v>
      </c>
      <c r="I52" s="114" t="str">
        <f t="shared" si="2"/>
        <v>Horticulture|900to1200</v>
      </c>
      <c r="J52" s="116">
        <f t="shared" si="5"/>
        <v>0.98</v>
      </c>
      <c r="K52" s="116">
        <f t="shared" si="5"/>
        <v>18.78</v>
      </c>
      <c r="L52" s="116"/>
      <c r="M52" s="116"/>
    </row>
    <row r="53" spans="1:13" x14ac:dyDescent="0.2">
      <c r="A53" s="121" t="s">
        <v>45</v>
      </c>
      <c r="B53" s="121" t="s">
        <v>40</v>
      </c>
      <c r="C53" s="121" t="b">
        <v>1</v>
      </c>
      <c r="D53" s="121" t="s">
        <v>38</v>
      </c>
      <c r="E53" s="121" t="s">
        <v>37</v>
      </c>
      <c r="F53" s="114" t="str">
        <f t="shared" si="4"/>
        <v>Horticulture|TRUE|900to1200|DrainedArGr</v>
      </c>
      <c r="G53" s="116">
        <v>1.26</v>
      </c>
      <c r="H53" s="116">
        <v>15.11</v>
      </c>
      <c r="I53" s="114" t="str">
        <f t="shared" si="2"/>
        <v>Horticulture|900to1200</v>
      </c>
      <c r="J53" s="116">
        <f t="shared" si="5"/>
        <v>1.26</v>
      </c>
      <c r="K53" s="116">
        <f t="shared" si="5"/>
        <v>15.11</v>
      </c>
      <c r="L53" s="116"/>
      <c r="M53" s="116"/>
    </row>
    <row r="54" spans="1:13" x14ac:dyDescent="0.2">
      <c r="A54" s="121" t="s">
        <v>45</v>
      </c>
      <c r="B54" s="121" t="s">
        <v>46</v>
      </c>
      <c r="C54" s="121" t="b">
        <v>1</v>
      </c>
      <c r="D54" s="121" t="s">
        <v>34</v>
      </c>
      <c r="E54" s="121" t="s">
        <v>35</v>
      </c>
      <c r="F54" s="114" t="str">
        <f t="shared" si="4"/>
        <v>Pig|TRUE|700to900|FreeDrain</v>
      </c>
      <c r="G54" s="116">
        <v>0.14000000000000001</v>
      </c>
      <c r="H54" s="116">
        <v>85.33</v>
      </c>
      <c r="I54" s="114" t="str">
        <f t="shared" si="2"/>
        <v>Pig|700to900</v>
      </c>
      <c r="J54" s="116">
        <f t="shared" si="5"/>
        <v>0.14000000000000001</v>
      </c>
      <c r="K54" s="116">
        <f t="shared" si="5"/>
        <v>85.33</v>
      </c>
      <c r="L54" s="116">
        <f>AVERAGE(G54:G56)</f>
        <v>0.91000000000000014</v>
      </c>
      <c r="M54" s="116">
        <f>AVERAGE(H54:H56)</f>
        <v>61.013333333333328</v>
      </c>
    </row>
    <row r="55" spans="1:13" x14ac:dyDescent="0.2">
      <c r="A55" s="121" t="s">
        <v>45</v>
      </c>
      <c r="B55" s="121" t="s">
        <v>46</v>
      </c>
      <c r="C55" s="121" t="b">
        <v>1</v>
      </c>
      <c r="D55" s="121" t="s">
        <v>34</v>
      </c>
      <c r="E55" s="121" t="s">
        <v>37</v>
      </c>
      <c r="F55" s="114" t="str">
        <f t="shared" si="4"/>
        <v>Pig|TRUE|700to900|DrainedArGr</v>
      </c>
      <c r="G55" s="116">
        <v>1.02</v>
      </c>
      <c r="H55" s="116">
        <v>46.64</v>
      </c>
      <c r="I55" s="114" t="str">
        <f t="shared" si="2"/>
        <v>Pig|700to900</v>
      </c>
      <c r="J55" s="116">
        <f t="shared" si="5"/>
        <v>1.02</v>
      </c>
      <c r="K55" s="116">
        <f t="shared" si="5"/>
        <v>46.64</v>
      </c>
      <c r="L55" s="116"/>
      <c r="M55" s="116"/>
    </row>
    <row r="56" spans="1:13" x14ac:dyDescent="0.2">
      <c r="A56" s="121" t="s">
        <v>45</v>
      </c>
      <c r="B56" s="121" t="s">
        <v>46</v>
      </c>
      <c r="C56" s="121" t="b">
        <v>1</v>
      </c>
      <c r="D56" s="121" t="s">
        <v>38</v>
      </c>
      <c r="E56" s="121" t="s">
        <v>37</v>
      </c>
      <c r="F56" s="114" t="str">
        <f t="shared" si="4"/>
        <v>Pig|TRUE|900to1200|DrainedArGr</v>
      </c>
      <c r="G56" s="116">
        <v>1.57</v>
      </c>
      <c r="H56" s="116">
        <v>51.07</v>
      </c>
      <c r="I56" s="114" t="str">
        <f t="shared" si="2"/>
        <v>Pig|900to1200</v>
      </c>
      <c r="J56" s="116">
        <f t="shared" si="5"/>
        <v>1.57</v>
      </c>
      <c r="K56" s="116">
        <f t="shared" si="5"/>
        <v>51.07</v>
      </c>
      <c r="L56" s="116"/>
      <c r="M56" s="116"/>
    </row>
    <row r="57" spans="1:13" x14ac:dyDescent="0.2">
      <c r="A57" s="121" t="s">
        <v>45</v>
      </c>
      <c r="B57" s="121" t="s">
        <v>41</v>
      </c>
      <c r="C57" s="121" t="b">
        <v>1</v>
      </c>
      <c r="D57" s="121" t="s">
        <v>34</v>
      </c>
      <c r="E57" s="121" t="s">
        <v>35</v>
      </c>
      <c r="F57" s="114" t="str">
        <f t="shared" si="4"/>
        <v>Poultry|TRUE|700to900|FreeDrain</v>
      </c>
      <c r="G57" s="116">
        <v>0.19</v>
      </c>
      <c r="H57" s="116">
        <v>181.05</v>
      </c>
      <c r="I57" s="114" t="str">
        <f t="shared" si="2"/>
        <v>Poultry|700to900</v>
      </c>
      <c r="J57" s="116">
        <f t="shared" si="5"/>
        <v>0.19</v>
      </c>
      <c r="K57" s="116">
        <f t="shared" si="5"/>
        <v>181.05</v>
      </c>
      <c r="L57" s="116"/>
      <c r="M57" s="116"/>
    </row>
    <row r="58" spans="1:13" x14ac:dyDescent="0.2">
      <c r="A58" s="121" t="s">
        <v>45</v>
      </c>
      <c r="B58" s="121" t="s">
        <v>41</v>
      </c>
      <c r="C58" s="121" t="b">
        <v>1</v>
      </c>
      <c r="D58" s="121" t="s">
        <v>34</v>
      </c>
      <c r="E58" s="121" t="s">
        <v>37</v>
      </c>
      <c r="F58" s="114" t="str">
        <f t="shared" si="4"/>
        <v>Poultry|TRUE|700to900|DrainedArGr</v>
      </c>
      <c r="G58" s="116">
        <v>0.94</v>
      </c>
      <c r="H58" s="116">
        <v>92.3</v>
      </c>
      <c r="I58" s="114" t="str">
        <f t="shared" si="2"/>
        <v>Poultry|700to900</v>
      </c>
      <c r="J58" s="116">
        <f t="shared" si="5"/>
        <v>0.94</v>
      </c>
      <c r="K58" s="116">
        <f t="shared" si="5"/>
        <v>92.3</v>
      </c>
      <c r="L58" s="116"/>
      <c r="M58" s="116"/>
    </row>
    <row r="59" spans="1:13" x14ac:dyDescent="0.2">
      <c r="A59" s="121" t="s">
        <v>45</v>
      </c>
      <c r="B59" s="121" t="s">
        <v>41</v>
      </c>
      <c r="C59" s="121" t="b">
        <v>1</v>
      </c>
      <c r="D59" s="121" t="s">
        <v>38</v>
      </c>
      <c r="E59" s="121" t="s">
        <v>36</v>
      </c>
      <c r="F59" s="114" t="str">
        <f t="shared" si="4"/>
        <v>Poultry|TRUE|900to1200|DrainedAr</v>
      </c>
      <c r="G59" s="116">
        <v>0.83</v>
      </c>
      <c r="H59" s="116">
        <v>141.51</v>
      </c>
      <c r="I59" s="114" t="str">
        <f t="shared" si="2"/>
        <v>Poultry|900to1200</v>
      </c>
      <c r="J59" s="116">
        <f t="shared" si="5"/>
        <v>0.83</v>
      </c>
      <c r="K59" s="116">
        <f t="shared" si="5"/>
        <v>141.51</v>
      </c>
      <c r="L59" s="116"/>
      <c r="M59" s="116"/>
    </row>
    <row r="60" spans="1:13" x14ac:dyDescent="0.2">
      <c r="A60" s="121" t="s">
        <v>45</v>
      </c>
      <c r="B60" s="121" t="s">
        <v>41</v>
      </c>
      <c r="C60" s="121" t="b">
        <v>1</v>
      </c>
      <c r="D60" s="121" t="s">
        <v>38</v>
      </c>
      <c r="E60" s="121" t="s">
        <v>37</v>
      </c>
      <c r="F60" s="114" t="str">
        <f t="shared" si="4"/>
        <v>Poultry|TRUE|900to1200|DrainedArGr</v>
      </c>
      <c r="G60" s="116">
        <v>1.5</v>
      </c>
      <c r="H60" s="116">
        <v>99.64</v>
      </c>
      <c r="I60" s="114" t="str">
        <f t="shared" si="2"/>
        <v>Poultry|900to1200</v>
      </c>
      <c r="J60" s="116">
        <f t="shared" si="5"/>
        <v>1.5</v>
      </c>
      <c r="K60" s="116">
        <f t="shared" si="5"/>
        <v>99.64</v>
      </c>
      <c r="L60" s="116"/>
      <c r="M60" s="116"/>
    </row>
    <row r="61" spans="1:13" x14ac:dyDescent="0.2">
      <c r="A61" s="121" t="s">
        <v>45</v>
      </c>
      <c r="B61" s="121" t="s">
        <v>42</v>
      </c>
      <c r="C61" s="121" t="b">
        <v>1</v>
      </c>
      <c r="D61" s="121" t="s">
        <v>34</v>
      </c>
      <c r="E61" s="121" t="s">
        <v>35</v>
      </c>
      <c r="F61" s="114" t="str">
        <f t="shared" si="4"/>
        <v>Dairy|TRUE|700to900|FreeDrain</v>
      </c>
      <c r="G61" s="116">
        <v>0.15</v>
      </c>
      <c r="H61" s="116">
        <v>35.340000000000003</v>
      </c>
      <c r="I61" s="114" t="str">
        <f t="shared" si="2"/>
        <v>Dairy|700to900</v>
      </c>
      <c r="J61" s="116">
        <f t="shared" si="5"/>
        <v>0.15</v>
      </c>
      <c r="K61" s="116">
        <f t="shared" si="5"/>
        <v>35.340000000000003</v>
      </c>
      <c r="L61" s="116"/>
      <c r="M61" s="116"/>
    </row>
    <row r="62" spans="1:13" x14ac:dyDescent="0.2">
      <c r="A62" s="121" t="s">
        <v>45</v>
      </c>
      <c r="B62" s="121" t="s">
        <v>42</v>
      </c>
      <c r="C62" s="121" t="b">
        <v>1</v>
      </c>
      <c r="D62" s="121" t="s">
        <v>34</v>
      </c>
      <c r="E62" s="121" t="s">
        <v>37</v>
      </c>
      <c r="F62" s="114" t="str">
        <f t="shared" si="4"/>
        <v>Dairy|TRUE|700to900|DrainedArGr</v>
      </c>
      <c r="G62" s="116">
        <v>1.01</v>
      </c>
      <c r="H62" s="116">
        <v>16.37</v>
      </c>
      <c r="I62" s="114" t="str">
        <f t="shared" si="2"/>
        <v>Dairy|700to900</v>
      </c>
      <c r="J62" s="116">
        <f t="shared" si="5"/>
        <v>1.01</v>
      </c>
      <c r="K62" s="116">
        <f t="shared" si="5"/>
        <v>16.37</v>
      </c>
      <c r="L62" s="116"/>
      <c r="M62" s="116"/>
    </row>
    <row r="63" spans="1:13" x14ac:dyDescent="0.2">
      <c r="A63" s="121" t="s">
        <v>45</v>
      </c>
      <c r="B63" s="121" t="s">
        <v>43</v>
      </c>
      <c r="C63" s="121" t="b">
        <v>1</v>
      </c>
      <c r="D63" s="121" t="s">
        <v>34</v>
      </c>
      <c r="E63" s="121" t="s">
        <v>35</v>
      </c>
      <c r="F63" s="114" t="str">
        <f t="shared" si="4"/>
        <v>Lowland|TRUE|700to900|FreeDrain</v>
      </c>
      <c r="G63" s="116">
        <v>0.09</v>
      </c>
      <c r="H63" s="116">
        <v>13.36</v>
      </c>
      <c r="I63" s="114" t="str">
        <f t="shared" si="2"/>
        <v>Lowland|700to900</v>
      </c>
      <c r="J63" s="116">
        <f t="shared" si="5"/>
        <v>0.09</v>
      </c>
      <c r="K63" s="116">
        <f t="shared" si="5"/>
        <v>13.36</v>
      </c>
      <c r="L63" s="116"/>
      <c r="M63" s="116"/>
    </row>
    <row r="64" spans="1:13" x14ac:dyDescent="0.2">
      <c r="A64" s="121" t="s">
        <v>45</v>
      </c>
      <c r="B64" s="121" t="s">
        <v>43</v>
      </c>
      <c r="C64" s="121" t="b">
        <v>0</v>
      </c>
      <c r="D64" s="121" t="s">
        <v>34</v>
      </c>
      <c r="E64" s="121" t="s">
        <v>36</v>
      </c>
      <c r="F64" s="114" t="str">
        <f t="shared" si="4"/>
        <v>Lowland|FALSE|700to900|DrainedAr</v>
      </c>
      <c r="G64" s="116">
        <v>0.19</v>
      </c>
      <c r="H64" s="116">
        <v>10.51</v>
      </c>
      <c r="I64" s="114" t="str">
        <f t="shared" si="2"/>
        <v>Lowland|700to900</v>
      </c>
      <c r="J64" s="116">
        <f t="shared" si="5"/>
        <v>0.19</v>
      </c>
      <c r="K64" s="116">
        <f t="shared" si="5"/>
        <v>10.51</v>
      </c>
      <c r="L64" s="116"/>
      <c r="M64" s="116"/>
    </row>
    <row r="65" spans="1:13" x14ac:dyDescent="0.2">
      <c r="A65" s="121" t="s">
        <v>45</v>
      </c>
      <c r="B65" s="121" t="s">
        <v>43</v>
      </c>
      <c r="C65" s="121" t="b">
        <v>1</v>
      </c>
      <c r="D65" s="121" t="s">
        <v>34</v>
      </c>
      <c r="E65" s="121" t="s">
        <v>36</v>
      </c>
      <c r="F65" s="114" t="str">
        <f t="shared" si="4"/>
        <v>Lowland|TRUE|700to900|DrainedAr</v>
      </c>
      <c r="G65" s="116">
        <v>0.19</v>
      </c>
      <c r="H65" s="116">
        <v>10.44</v>
      </c>
      <c r="I65" s="114" t="str">
        <f t="shared" si="2"/>
        <v>Lowland|700to900</v>
      </c>
      <c r="J65" s="116">
        <f t="shared" si="5"/>
        <v>0.19</v>
      </c>
      <c r="K65" s="116">
        <f t="shared" si="5"/>
        <v>10.44</v>
      </c>
      <c r="L65" s="116"/>
      <c r="M65" s="116"/>
    </row>
    <row r="66" spans="1:13" x14ac:dyDescent="0.2">
      <c r="A66" s="121" t="s">
        <v>45</v>
      </c>
      <c r="B66" s="121" t="s">
        <v>43</v>
      </c>
      <c r="C66" s="121" t="b">
        <v>0</v>
      </c>
      <c r="D66" s="121" t="s">
        <v>34</v>
      </c>
      <c r="E66" s="121" t="s">
        <v>37</v>
      </c>
      <c r="F66" s="114" t="str">
        <f t="shared" si="4"/>
        <v>Lowland|FALSE|700to900|DrainedArGr</v>
      </c>
      <c r="G66" s="116">
        <v>0.62</v>
      </c>
      <c r="H66" s="116">
        <v>7.3</v>
      </c>
      <c r="I66" s="114" t="str">
        <f t="shared" si="2"/>
        <v>Lowland|700to900</v>
      </c>
      <c r="J66" s="116">
        <f t="shared" si="5"/>
        <v>0.62</v>
      </c>
      <c r="K66" s="116">
        <f t="shared" si="5"/>
        <v>7.3</v>
      </c>
      <c r="L66" s="116"/>
      <c r="M66" s="116"/>
    </row>
    <row r="67" spans="1:13" x14ac:dyDescent="0.2">
      <c r="A67" s="121" t="s">
        <v>45</v>
      </c>
      <c r="B67" s="121" t="s">
        <v>43</v>
      </c>
      <c r="C67" s="121" t="b">
        <v>1</v>
      </c>
      <c r="D67" s="121" t="s">
        <v>34</v>
      </c>
      <c r="E67" s="121" t="s">
        <v>37</v>
      </c>
      <c r="F67" s="114" t="str">
        <f t="shared" si="4"/>
        <v>Lowland|TRUE|700to900|DrainedArGr</v>
      </c>
      <c r="G67" s="116">
        <v>0.62</v>
      </c>
      <c r="H67" s="116">
        <v>7.28</v>
      </c>
      <c r="I67" s="114" t="str">
        <f t="shared" si="2"/>
        <v>Lowland|700to900</v>
      </c>
      <c r="J67" s="116">
        <f t="shared" si="5"/>
        <v>0.62</v>
      </c>
      <c r="K67" s="116">
        <f t="shared" si="5"/>
        <v>7.28</v>
      </c>
      <c r="L67" s="116"/>
      <c r="M67" s="116"/>
    </row>
    <row r="68" spans="1:13" x14ac:dyDescent="0.2">
      <c r="A68" s="121" t="s">
        <v>45</v>
      </c>
      <c r="B68" s="121" t="s">
        <v>43</v>
      </c>
      <c r="C68" s="121" t="b">
        <v>1</v>
      </c>
      <c r="D68" s="121" t="s">
        <v>38</v>
      </c>
      <c r="E68" s="121" t="s">
        <v>36</v>
      </c>
      <c r="F68" s="114" t="str">
        <f t="shared" si="4"/>
        <v>Lowland|TRUE|900to1200|DrainedAr</v>
      </c>
      <c r="G68" s="116">
        <v>0.34</v>
      </c>
      <c r="H68" s="116">
        <v>13.18</v>
      </c>
      <c r="I68" s="114" t="str">
        <f t="shared" si="2"/>
        <v>Lowland|900to1200</v>
      </c>
      <c r="J68" s="116">
        <f t="shared" si="5"/>
        <v>0.34</v>
      </c>
      <c r="K68" s="116">
        <f t="shared" si="5"/>
        <v>13.18</v>
      </c>
      <c r="L68" s="116"/>
      <c r="M68" s="116"/>
    </row>
    <row r="69" spans="1:13" x14ac:dyDescent="0.2">
      <c r="A69" s="121" t="s">
        <v>45</v>
      </c>
      <c r="B69" s="121" t="s">
        <v>43</v>
      </c>
      <c r="C69" s="121" t="b">
        <v>1</v>
      </c>
      <c r="D69" s="121" t="s">
        <v>38</v>
      </c>
      <c r="E69" s="121" t="s">
        <v>37</v>
      </c>
      <c r="F69" s="114" t="str">
        <f t="shared" si="4"/>
        <v>Lowland|TRUE|900to1200|DrainedArGr</v>
      </c>
      <c r="G69" s="116">
        <v>1.04</v>
      </c>
      <c r="H69" s="116">
        <v>9.6</v>
      </c>
      <c r="I69" s="114" t="str">
        <f t="shared" si="2"/>
        <v>Lowland|900to1200</v>
      </c>
      <c r="J69" s="116">
        <f t="shared" si="5"/>
        <v>1.04</v>
      </c>
      <c r="K69" s="116">
        <f t="shared" si="5"/>
        <v>9.6</v>
      </c>
      <c r="L69" s="116"/>
      <c r="M69" s="116"/>
    </row>
    <row r="70" spans="1:13" x14ac:dyDescent="0.2">
      <c r="A70" s="121" t="s">
        <v>45</v>
      </c>
      <c r="B70" s="121" t="s">
        <v>44</v>
      </c>
      <c r="C70" s="121" t="b">
        <v>1</v>
      </c>
      <c r="D70" s="121" t="s">
        <v>34</v>
      </c>
      <c r="E70" s="121" t="s">
        <v>35</v>
      </c>
      <c r="F70" s="114" t="str">
        <f t="shared" si="4"/>
        <v>Mixed|TRUE|700to900|FreeDrain</v>
      </c>
      <c r="G70" s="116">
        <v>0.12</v>
      </c>
      <c r="H70" s="116">
        <v>25.46</v>
      </c>
      <c r="I70" s="114" t="str">
        <f t="shared" si="2"/>
        <v>Mixed|700to900</v>
      </c>
      <c r="J70" s="116">
        <f t="shared" si="5"/>
        <v>0.12</v>
      </c>
      <c r="K70" s="116">
        <f t="shared" si="5"/>
        <v>25.46</v>
      </c>
      <c r="L70" s="116"/>
      <c r="M70" s="116"/>
    </row>
    <row r="71" spans="1:13" x14ac:dyDescent="0.2">
      <c r="A71" s="121" t="s">
        <v>45</v>
      </c>
      <c r="B71" s="121" t="s">
        <v>44</v>
      </c>
      <c r="C71" s="121" t="b">
        <v>1</v>
      </c>
      <c r="D71" s="121" t="s">
        <v>34</v>
      </c>
      <c r="E71" s="121" t="s">
        <v>37</v>
      </c>
      <c r="F71" s="114" t="str">
        <f t="shared" si="4"/>
        <v>Mixed|TRUE|700to900|DrainedArGr</v>
      </c>
      <c r="G71" s="116">
        <v>0.83</v>
      </c>
      <c r="H71" s="116">
        <v>15.87</v>
      </c>
      <c r="I71" s="114" t="str">
        <f t="shared" si="2"/>
        <v>Mixed|700to900</v>
      </c>
      <c r="J71" s="116">
        <f t="shared" si="5"/>
        <v>0.83</v>
      </c>
      <c r="K71" s="116">
        <f t="shared" si="5"/>
        <v>15.87</v>
      </c>
      <c r="L71" s="116"/>
      <c r="M71" s="116"/>
    </row>
    <row r="72" spans="1:13" x14ac:dyDescent="0.2">
      <c r="A72" s="121" t="s">
        <v>45</v>
      </c>
      <c r="B72" s="121" t="s">
        <v>44</v>
      </c>
      <c r="C72" s="121" t="b">
        <v>1</v>
      </c>
      <c r="D72" s="121" t="s">
        <v>38</v>
      </c>
      <c r="E72" s="121" t="s">
        <v>36</v>
      </c>
      <c r="F72" s="114" t="str">
        <f t="shared" si="4"/>
        <v>Mixed|TRUE|900to1200|DrainedAr</v>
      </c>
      <c r="G72" s="116">
        <v>0.84</v>
      </c>
      <c r="H72" s="116">
        <v>24.25</v>
      </c>
      <c r="I72" s="114" t="str">
        <f t="shared" si="2"/>
        <v>Mixed|900to1200</v>
      </c>
      <c r="J72" s="116">
        <f t="shared" si="5"/>
        <v>0.84</v>
      </c>
      <c r="K72" s="116">
        <f t="shared" si="5"/>
        <v>24.25</v>
      </c>
      <c r="L72" s="116"/>
      <c r="M72" s="116"/>
    </row>
    <row r="73" spans="1:13" x14ac:dyDescent="0.2">
      <c r="A73" s="121" t="s">
        <v>45</v>
      </c>
      <c r="B73" s="121" t="s">
        <v>44</v>
      </c>
      <c r="C73" s="121" t="b">
        <v>1</v>
      </c>
      <c r="D73" s="121" t="s">
        <v>38</v>
      </c>
      <c r="E73" s="121" t="s">
        <v>37</v>
      </c>
      <c r="F73" s="114" t="str">
        <f t="shared" si="4"/>
        <v>Mixed|TRUE|900to1200|DrainedArGr</v>
      </c>
      <c r="G73" s="116">
        <v>1.36</v>
      </c>
      <c r="H73" s="116">
        <v>18.760000000000002</v>
      </c>
      <c r="I73" s="114" t="str">
        <f t="shared" si="2"/>
        <v>Mixed|900to1200</v>
      </c>
      <c r="J73" s="116">
        <f t="shared" si="5"/>
        <v>1.36</v>
      </c>
      <c r="K73" s="116">
        <f t="shared" si="5"/>
        <v>18.760000000000002</v>
      </c>
      <c r="L73" s="116"/>
      <c r="M73" s="116"/>
    </row>
    <row r="74" spans="1:13" x14ac:dyDescent="0.2">
      <c r="A74" s="121" t="s">
        <v>47</v>
      </c>
      <c r="B74" s="121" t="s">
        <v>33</v>
      </c>
      <c r="C74" s="121" t="b">
        <v>1</v>
      </c>
      <c r="D74" s="121" t="s">
        <v>34</v>
      </c>
      <c r="E74" s="121" t="s">
        <v>35</v>
      </c>
      <c r="F74" s="114" t="str">
        <f t="shared" si="4"/>
        <v>Cereals|TRUE|700to900|FreeDrain</v>
      </c>
      <c r="G74" s="116">
        <v>0.09</v>
      </c>
      <c r="H74" s="116">
        <v>27.93</v>
      </c>
      <c r="I74" s="114" t="str">
        <f t="shared" si="2"/>
        <v>Cereals|700to900</v>
      </c>
      <c r="J74" s="116">
        <f t="shared" si="5"/>
        <v>0.09</v>
      </c>
      <c r="K74" s="116">
        <f t="shared" si="5"/>
        <v>27.93</v>
      </c>
      <c r="L74" s="116"/>
      <c r="M74" s="116"/>
    </row>
    <row r="75" spans="1:13" x14ac:dyDescent="0.2">
      <c r="A75" s="121" t="s">
        <v>47</v>
      </c>
      <c r="B75" s="121" t="s">
        <v>33</v>
      </c>
      <c r="C75" s="121" t="b">
        <v>1</v>
      </c>
      <c r="D75" s="121" t="s">
        <v>34</v>
      </c>
      <c r="E75" s="121" t="s">
        <v>36</v>
      </c>
      <c r="F75" s="114" t="str">
        <f t="shared" si="4"/>
        <v>Cereals|TRUE|700to900|DrainedAr</v>
      </c>
      <c r="G75" s="116">
        <v>0.67</v>
      </c>
      <c r="H75" s="116">
        <v>21.48</v>
      </c>
      <c r="I75" s="114" t="str">
        <f t="shared" si="2"/>
        <v>Cereals|700to900</v>
      </c>
      <c r="J75" s="116">
        <f>G75</f>
        <v>0.67</v>
      </c>
      <c r="K75" s="116">
        <f t="shared" si="5"/>
        <v>21.48</v>
      </c>
      <c r="L75" s="116"/>
      <c r="M75" s="116"/>
    </row>
    <row r="76" spans="1:13" x14ac:dyDescent="0.2">
      <c r="A76" s="121" t="s">
        <v>47</v>
      </c>
      <c r="B76" s="121" t="s">
        <v>33</v>
      </c>
      <c r="C76" s="121" t="b">
        <v>1</v>
      </c>
      <c r="D76" s="121" t="s">
        <v>38</v>
      </c>
      <c r="E76" s="121" t="s">
        <v>35</v>
      </c>
      <c r="F76" s="114" t="str">
        <f t="shared" si="4"/>
        <v>Cereals|TRUE|900to1200|FreeDrain</v>
      </c>
      <c r="G76" s="116">
        <v>0.15</v>
      </c>
      <c r="H76" s="116">
        <v>29.73</v>
      </c>
      <c r="I76" s="114" t="str">
        <f t="shared" si="2"/>
        <v>Cereals|900to1200</v>
      </c>
      <c r="J76" s="116">
        <f t="shared" si="5"/>
        <v>0.15</v>
      </c>
      <c r="K76" s="116">
        <f t="shared" si="5"/>
        <v>29.73</v>
      </c>
      <c r="L76" s="116"/>
      <c r="M76" s="116"/>
    </row>
    <row r="77" spans="1:13" x14ac:dyDescent="0.2">
      <c r="A77" s="121" t="s">
        <v>47</v>
      </c>
      <c r="B77" s="121" t="s">
        <v>39</v>
      </c>
      <c r="C77" s="121" t="b">
        <v>1</v>
      </c>
      <c r="D77" s="121" t="s">
        <v>34</v>
      </c>
      <c r="E77" s="121" t="s">
        <v>35</v>
      </c>
      <c r="F77" s="114" t="str">
        <f t="shared" si="4"/>
        <v>General|TRUE|700to900|FreeDrain</v>
      </c>
      <c r="G77" s="116">
        <v>7.0000000000000007E-2</v>
      </c>
      <c r="H77" s="116">
        <v>19.64</v>
      </c>
      <c r="I77" s="114" t="str">
        <f t="shared" si="2"/>
        <v>General|700to900</v>
      </c>
      <c r="J77" s="116">
        <f t="shared" si="5"/>
        <v>7.0000000000000007E-2</v>
      </c>
      <c r="K77" s="116">
        <f t="shared" si="5"/>
        <v>19.64</v>
      </c>
      <c r="L77" s="116"/>
      <c r="M77" s="116"/>
    </row>
    <row r="78" spans="1:13" x14ac:dyDescent="0.2">
      <c r="A78" s="121" t="s">
        <v>47</v>
      </c>
      <c r="B78" s="121" t="s">
        <v>39</v>
      </c>
      <c r="C78" s="121" t="b">
        <v>1</v>
      </c>
      <c r="D78" s="121" t="s">
        <v>34</v>
      </c>
      <c r="E78" s="121" t="s">
        <v>36</v>
      </c>
      <c r="F78" s="114" t="str">
        <f t="shared" si="4"/>
        <v>General|TRUE|700to900|DrainedAr</v>
      </c>
      <c r="G78" s="116">
        <v>0.45</v>
      </c>
      <c r="H78" s="116">
        <v>14.79</v>
      </c>
      <c r="I78" s="114" t="str">
        <f t="shared" si="2"/>
        <v>General|700to900</v>
      </c>
      <c r="J78" s="116">
        <f t="shared" si="5"/>
        <v>0.45</v>
      </c>
      <c r="K78" s="116">
        <f t="shared" si="5"/>
        <v>14.79</v>
      </c>
      <c r="L78" s="116"/>
      <c r="M78" s="116"/>
    </row>
    <row r="79" spans="1:13" x14ac:dyDescent="0.2">
      <c r="A79" s="121" t="s">
        <v>47</v>
      </c>
      <c r="B79" s="121" t="s">
        <v>39</v>
      </c>
      <c r="C79" s="121" t="b">
        <v>1</v>
      </c>
      <c r="D79" s="121" t="s">
        <v>38</v>
      </c>
      <c r="E79" s="121" t="s">
        <v>35</v>
      </c>
      <c r="F79" s="114" t="str">
        <f t="shared" si="4"/>
        <v>General|TRUE|900to1200|FreeDrain</v>
      </c>
      <c r="G79" s="116">
        <v>0.12</v>
      </c>
      <c r="H79" s="116">
        <v>21.1</v>
      </c>
      <c r="I79" s="114" t="str">
        <f t="shared" si="2"/>
        <v>General|900to1200</v>
      </c>
      <c r="J79" s="116">
        <f t="shared" si="5"/>
        <v>0.12</v>
      </c>
      <c r="K79" s="116">
        <f t="shared" si="5"/>
        <v>21.1</v>
      </c>
      <c r="L79" s="116"/>
      <c r="M79" s="116"/>
    </row>
    <row r="80" spans="1:13" x14ac:dyDescent="0.2">
      <c r="A80" s="121" t="s">
        <v>47</v>
      </c>
      <c r="B80" s="121" t="s">
        <v>48</v>
      </c>
      <c r="C80" s="121" t="b">
        <v>1</v>
      </c>
      <c r="D80" s="121" t="s">
        <v>34</v>
      </c>
      <c r="E80" s="121" t="s">
        <v>35</v>
      </c>
      <c r="F80" s="114" t="str">
        <f t="shared" si="4"/>
        <v>Hortic|TRUE|700to900|FreeDrain</v>
      </c>
      <c r="G80" s="116">
        <v>7.0000000000000007E-2</v>
      </c>
      <c r="H80" s="116">
        <v>21.02</v>
      </c>
      <c r="I80" s="114" t="str">
        <f t="shared" ref="I80:I89" si="6">B80&amp;"|"&amp;D80</f>
        <v>Hortic|700to900</v>
      </c>
      <c r="J80" s="116">
        <f t="shared" si="5"/>
        <v>7.0000000000000007E-2</v>
      </c>
      <c r="K80" s="116">
        <f t="shared" si="5"/>
        <v>21.02</v>
      </c>
      <c r="L80" s="116"/>
      <c r="M80" s="116"/>
    </row>
    <row r="81" spans="1:13" x14ac:dyDescent="0.2">
      <c r="A81" s="121" t="s">
        <v>47</v>
      </c>
      <c r="B81" s="121" t="s">
        <v>48</v>
      </c>
      <c r="C81" s="121" t="b">
        <v>1</v>
      </c>
      <c r="D81" s="121" t="s">
        <v>38</v>
      </c>
      <c r="E81" s="121" t="s">
        <v>35</v>
      </c>
      <c r="F81" s="114" t="str">
        <f t="shared" si="4"/>
        <v>Hortic|TRUE|900to1200|FreeDrain</v>
      </c>
      <c r="G81" s="116">
        <v>0.13</v>
      </c>
      <c r="H81" s="116">
        <v>22.64</v>
      </c>
      <c r="I81" s="114" t="str">
        <f t="shared" si="6"/>
        <v>Hortic|900to1200</v>
      </c>
      <c r="J81" s="116">
        <f t="shared" si="5"/>
        <v>0.13</v>
      </c>
      <c r="K81" s="116">
        <f t="shared" si="5"/>
        <v>22.64</v>
      </c>
      <c r="L81" s="116"/>
      <c r="M81" s="116"/>
    </row>
    <row r="82" spans="1:13" x14ac:dyDescent="0.2">
      <c r="A82" s="121" t="s">
        <v>47</v>
      </c>
      <c r="B82" s="121" t="s">
        <v>46</v>
      </c>
      <c r="C82" s="121" t="b">
        <v>1</v>
      </c>
      <c r="D82" s="121" t="s">
        <v>34</v>
      </c>
      <c r="E82" s="121" t="s">
        <v>35</v>
      </c>
      <c r="F82" s="114" t="str">
        <f t="shared" si="4"/>
        <v>Pig|TRUE|700to900|FreeDrain</v>
      </c>
      <c r="G82" s="116">
        <v>0.08</v>
      </c>
      <c r="H82" s="116">
        <v>63.94</v>
      </c>
      <c r="I82" s="114" t="str">
        <f t="shared" si="6"/>
        <v>Pig|700to900</v>
      </c>
      <c r="J82" s="116">
        <f t="shared" si="5"/>
        <v>0.08</v>
      </c>
      <c r="K82" s="116">
        <f t="shared" si="5"/>
        <v>63.94</v>
      </c>
      <c r="L82" s="116"/>
      <c r="M82" s="116"/>
    </row>
    <row r="83" spans="1:13" x14ac:dyDescent="0.2">
      <c r="A83" s="121" t="s">
        <v>47</v>
      </c>
      <c r="B83" s="121" t="s">
        <v>41</v>
      </c>
      <c r="C83" s="121" t="b">
        <v>1</v>
      </c>
      <c r="D83" s="121" t="s">
        <v>34</v>
      </c>
      <c r="E83" s="121" t="s">
        <v>35</v>
      </c>
      <c r="F83" s="114" t="str">
        <f t="shared" si="4"/>
        <v>Poultry|TRUE|700to900|FreeDrain</v>
      </c>
      <c r="G83" s="116">
        <v>7.0000000000000007E-2</v>
      </c>
      <c r="H83" s="116">
        <v>68.61</v>
      </c>
      <c r="I83" s="114" t="str">
        <f t="shared" si="6"/>
        <v>Poultry|700to900</v>
      </c>
      <c r="J83" s="116">
        <f t="shared" si="5"/>
        <v>7.0000000000000007E-2</v>
      </c>
      <c r="K83" s="116">
        <f t="shared" si="5"/>
        <v>68.61</v>
      </c>
      <c r="L83" s="116"/>
      <c r="M83" s="116"/>
    </row>
    <row r="84" spans="1:13" x14ac:dyDescent="0.2">
      <c r="A84" s="121" t="s">
        <v>47</v>
      </c>
      <c r="B84" s="121" t="s">
        <v>42</v>
      </c>
      <c r="C84" s="121" t="b">
        <v>1</v>
      </c>
      <c r="D84" s="121" t="s">
        <v>34</v>
      </c>
      <c r="E84" s="121" t="s">
        <v>35</v>
      </c>
      <c r="F84" s="114" t="str">
        <f t="shared" si="4"/>
        <v>Dairy|TRUE|700to900|FreeDrain</v>
      </c>
      <c r="G84" s="116">
        <v>0.08</v>
      </c>
      <c r="H84" s="116">
        <v>41.23</v>
      </c>
      <c r="I84" s="114" t="str">
        <f t="shared" si="6"/>
        <v>Dairy|700to900</v>
      </c>
      <c r="J84" s="116">
        <f t="shared" si="5"/>
        <v>0.08</v>
      </c>
      <c r="K84" s="116">
        <f t="shared" si="5"/>
        <v>41.23</v>
      </c>
      <c r="L84" s="116"/>
      <c r="M84" s="116"/>
    </row>
    <row r="85" spans="1:13" x14ac:dyDescent="0.2">
      <c r="A85" s="121" t="s">
        <v>47</v>
      </c>
      <c r="B85" s="121" t="s">
        <v>43</v>
      </c>
      <c r="C85" s="121" t="b">
        <v>1</v>
      </c>
      <c r="D85" s="121" t="s">
        <v>34</v>
      </c>
      <c r="E85" s="121" t="s">
        <v>35</v>
      </c>
      <c r="F85" s="114" t="str">
        <f t="shared" si="4"/>
        <v>Lowland|TRUE|700to900|FreeDrain</v>
      </c>
      <c r="G85" s="116">
        <v>0.05</v>
      </c>
      <c r="H85" s="116">
        <v>11.74</v>
      </c>
      <c r="I85" s="114" t="str">
        <f t="shared" si="6"/>
        <v>Lowland|700to900</v>
      </c>
      <c r="J85" s="116">
        <f t="shared" si="5"/>
        <v>0.05</v>
      </c>
      <c r="K85" s="116">
        <f t="shared" si="5"/>
        <v>11.74</v>
      </c>
      <c r="L85" s="116"/>
      <c r="M85" s="116"/>
    </row>
    <row r="86" spans="1:13" x14ac:dyDescent="0.2">
      <c r="A86" s="121" t="s">
        <v>47</v>
      </c>
      <c r="B86" s="121" t="s">
        <v>43</v>
      </c>
      <c r="C86" s="121" t="b">
        <v>1</v>
      </c>
      <c r="D86" s="121" t="s">
        <v>34</v>
      </c>
      <c r="E86" s="121" t="s">
        <v>36</v>
      </c>
      <c r="F86" s="114" t="str">
        <f t="shared" si="4"/>
        <v>Lowland|TRUE|700to900|DrainedAr</v>
      </c>
      <c r="G86" s="116">
        <v>0.15</v>
      </c>
      <c r="H86" s="116">
        <v>9.09</v>
      </c>
      <c r="I86" s="114" t="str">
        <f t="shared" si="6"/>
        <v>Lowland|700to900</v>
      </c>
      <c r="J86" s="116">
        <f t="shared" si="5"/>
        <v>0.15</v>
      </c>
      <c r="K86" s="116">
        <f t="shared" si="5"/>
        <v>9.09</v>
      </c>
      <c r="L86" s="116"/>
      <c r="M86" s="116"/>
    </row>
    <row r="87" spans="1:13" x14ac:dyDescent="0.2">
      <c r="A87" s="121" t="s">
        <v>47</v>
      </c>
      <c r="B87" s="121" t="s">
        <v>43</v>
      </c>
      <c r="C87" s="121" t="b">
        <v>1</v>
      </c>
      <c r="D87" s="121" t="s">
        <v>38</v>
      </c>
      <c r="E87" s="121" t="s">
        <v>35</v>
      </c>
      <c r="F87" s="114" t="str">
        <f t="shared" si="4"/>
        <v>Lowland|TRUE|900to1200|FreeDrain</v>
      </c>
      <c r="G87" s="116">
        <v>0.09</v>
      </c>
      <c r="H87" s="116">
        <v>12.65</v>
      </c>
      <c r="I87" s="114" t="str">
        <f t="shared" si="6"/>
        <v>Lowland|900to1200</v>
      </c>
      <c r="J87" s="116">
        <f t="shared" si="5"/>
        <v>0.09</v>
      </c>
      <c r="K87" s="116">
        <f t="shared" si="5"/>
        <v>12.65</v>
      </c>
      <c r="L87" s="116"/>
      <c r="M87" s="116"/>
    </row>
    <row r="88" spans="1:13" x14ac:dyDescent="0.2">
      <c r="A88" s="121" t="s">
        <v>47</v>
      </c>
      <c r="B88" s="121" t="s">
        <v>44</v>
      </c>
      <c r="C88" s="121" t="b">
        <v>1</v>
      </c>
      <c r="D88" s="121" t="s">
        <v>34</v>
      </c>
      <c r="E88" s="121" t="s">
        <v>35</v>
      </c>
      <c r="F88" s="114" t="str">
        <f t="shared" si="4"/>
        <v>Mixed|TRUE|700to900|FreeDrain</v>
      </c>
      <c r="G88" s="116">
        <v>0.08</v>
      </c>
      <c r="H88" s="116">
        <v>24.27</v>
      </c>
      <c r="I88" s="114" t="str">
        <f t="shared" si="6"/>
        <v>Mixed|700to900</v>
      </c>
      <c r="J88" s="116">
        <f t="shared" si="5"/>
        <v>0.08</v>
      </c>
      <c r="K88" s="116">
        <f t="shared" si="5"/>
        <v>24.27</v>
      </c>
      <c r="L88" s="116"/>
      <c r="M88" s="116"/>
    </row>
    <row r="89" spans="1:13" x14ac:dyDescent="0.2">
      <c r="A89" s="121" t="s">
        <v>47</v>
      </c>
      <c r="B89" s="121" t="s">
        <v>44</v>
      </c>
      <c r="C89" s="121" t="b">
        <v>1</v>
      </c>
      <c r="D89" s="121" t="s">
        <v>38</v>
      </c>
      <c r="E89" s="121" t="s">
        <v>35</v>
      </c>
      <c r="F89" s="114" t="str">
        <f t="shared" si="4"/>
        <v>Mixed|TRUE|900to1200|FreeDrain</v>
      </c>
      <c r="G89" s="116">
        <v>0.13</v>
      </c>
      <c r="H89" s="116">
        <v>25.84</v>
      </c>
      <c r="I89" s="114" t="str">
        <f t="shared" si="6"/>
        <v>Mixed|900to1200</v>
      </c>
      <c r="J89" s="116">
        <f t="shared" si="5"/>
        <v>0.13</v>
      </c>
      <c r="K89" s="116">
        <f t="shared" si="5"/>
        <v>25.84</v>
      </c>
      <c r="L89" s="116"/>
      <c r="M89" s="116"/>
    </row>
    <row r="90" spans="1:13" x14ac:dyDescent="0.2">
      <c r="A90" s="121" t="s">
        <v>49</v>
      </c>
      <c r="B90" s="121" t="s">
        <v>49</v>
      </c>
      <c r="C90" s="121" t="s">
        <v>49</v>
      </c>
      <c r="D90" s="121" t="s">
        <v>49</v>
      </c>
      <c r="E90" s="115" t="s">
        <v>50</v>
      </c>
      <c r="F90" s="114" t="str">
        <f>"|"&amp;"|"&amp;"|"&amp;E90</f>
        <v>|||Greenspace</v>
      </c>
      <c r="G90" s="122">
        <v>0.02</v>
      </c>
      <c r="H90" s="116">
        <v>3</v>
      </c>
      <c r="I90" s="114"/>
      <c r="J90" s="114"/>
      <c r="K90" s="114"/>
      <c r="L90" s="114"/>
      <c r="M90" s="114"/>
    </row>
    <row r="91" spans="1:13" ht="30" x14ac:dyDescent="0.2">
      <c r="A91" s="121" t="s">
        <v>49</v>
      </c>
      <c r="B91" s="121" t="s">
        <v>49</v>
      </c>
      <c r="C91" s="121" t="s">
        <v>49</v>
      </c>
      <c r="D91" s="121" t="s">
        <v>49</v>
      </c>
      <c r="E91" s="115" t="s">
        <v>51</v>
      </c>
      <c r="F91" s="114" t="str">
        <f>"|"&amp;"|"&amp;"|"&amp;E91</f>
        <v>|||Community food growing</v>
      </c>
      <c r="G91" s="120">
        <f>IFERROR(VLOOKUP((VLOOKUP(Nutrients_from_current_land_use!$B$5,Value_look_up_tables!$A$127:$B$127,2,FALSE)&amp;"|"&amp;"General"&amp;"|"&amp;"FALSE"&amp;"|"&amp;VLOOKUP(Nutrients_from_current_land_use!$B$7,Value_look_up_tables!$A$101:$C$123,3,FALSE)&amp;"|"&amp;"FreeDrain"),$F$16:$H$89,2,FALSE), IFERROR(VLOOKUP("General"&amp;"|"&amp;VLOOKUP(Nutrients_from_current_land_use!$B$7,Value_look_up_tables!$A$101:$C$123,3,FALSE),$I$16:$M$89,2,FALSE),VLOOKUP("General",$B$16:$M$89,11,FALSE)))</f>
        <v>0.36</v>
      </c>
      <c r="H91" s="120">
        <f>IFERROR(VLOOKUP((VLOOKUP(Nutrients_from_current_land_use!$B$5,$A$127:$B$127,2,FALSE)&amp;"|"&amp;"General"&amp;"|"&amp;"FALSE"&amp;"|"&amp;VLOOKUP(Nutrients_from_current_land_use!$B$7,$A$101:$C$123,3,FALSE)&amp;"|"&amp;"FreeDrain"),$F$16:$H$89,3,FALSE), IFERROR(VLOOKUP("General"&amp;"|"&amp;VLOOKUP(Nutrients_from_current_land_use!$B$7,$A$101:$C$123,3,FALSE),$I$16:$M$89,3,FALSE),VLOOKUP("General",$B$16:$M$89,12,FALSE)))</f>
        <v>18.954999999999998</v>
      </c>
      <c r="I91" s="114"/>
      <c r="J91" s="114"/>
      <c r="K91" s="114"/>
      <c r="L91" s="114"/>
      <c r="M91" s="114"/>
    </row>
    <row r="92" spans="1:13" x14ac:dyDescent="0.2">
      <c r="A92" s="121" t="s">
        <v>49</v>
      </c>
      <c r="B92" s="121" t="s">
        <v>49</v>
      </c>
      <c r="C92" s="121" t="s">
        <v>49</v>
      </c>
      <c r="D92" s="121" t="s">
        <v>49</v>
      </c>
      <c r="E92" s="115" t="s">
        <v>52</v>
      </c>
      <c r="F92" s="114" t="str">
        <f>"|"&amp;"|"&amp;"|"&amp;E92</f>
        <v>|||Woodland</v>
      </c>
      <c r="G92" s="122">
        <v>0.02</v>
      </c>
      <c r="H92" s="116">
        <v>3</v>
      </c>
      <c r="I92" s="114"/>
      <c r="J92" s="114"/>
      <c r="K92" s="114"/>
      <c r="L92" s="114"/>
      <c r="M92" s="114"/>
    </row>
    <row r="93" spans="1:13" x14ac:dyDescent="0.2">
      <c r="A93" s="121" t="s">
        <v>49</v>
      </c>
      <c r="B93" s="121" t="s">
        <v>49</v>
      </c>
      <c r="C93" s="121" t="s">
        <v>49</v>
      </c>
      <c r="D93" s="121" t="s">
        <v>49</v>
      </c>
      <c r="E93" s="115" t="s">
        <v>53</v>
      </c>
      <c r="F93" s="114" t="str">
        <f>"|"&amp;"|"&amp;"|"&amp;E93</f>
        <v>|||Shrub</v>
      </c>
      <c r="G93" s="122">
        <v>0.02</v>
      </c>
      <c r="H93" s="116">
        <v>3</v>
      </c>
      <c r="I93" s="114"/>
      <c r="J93" s="114"/>
      <c r="K93" s="114"/>
      <c r="L93" s="114"/>
      <c r="M93" s="114"/>
    </row>
    <row r="94" spans="1:13" x14ac:dyDescent="0.2">
      <c r="A94" s="121" t="s">
        <v>49</v>
      </c>
      <c r="B94" s="121" t="s">
        <v>49</v>
      </c>
      <c r="C94" s="121" t="s">
        <v>49</v>
      </c>
      <c r="D94" s="121" t="s">
        <v>49</v>
      </c>
      <c r="E94" s="115" t="s">
        <v>54</v>
      </c>
      <c r="F94" s="114" t="str">
        <f>"|"&amp;"|"&amp;"|"&amp;E94</f>
        <v>|||Water</v>
      </c>
      <c r="G94" s="122">
        <v>0</v>
      </c>
      <c r="H94" s="116">
        <v>0</v>
      </c>
      <c r="I94" s="114"/>
      <c r="J94" s="114"/>
      <c r="K94" s="114"/>
      <c r="L94" s="114"/>
      <c r="M94" s="114"/>
    </row>
    <row r="95" spans="1:13" x14ac:dyDescent="0.2">
      <c r="A95" s="121" t="s">
        <v>49</v>
      </c>
      <c r="B95" s="121" t="s">
        <v>49</v>
      </c>
      <c r="C95" s="121" t="s">
        <v>49</v>
      </c>
      <c r="D95" s="121" t="s">
        <v>49</v>
      </c>
      <c r="E95" s="114" t="s">
        <v>55</v>
      </c>
      <c r="F95" s="114" t="str">
        <f t="shared" ref="F95:F97" si="7">"|"&amp;"|"&amp;"|"&amp;E95</f>
        <v>|||Residential urban land</v>
      </c>
      <c r="G95" s="116" t="e">
        <f>VLOOKUP(Nutrients_from_current_land_use!B7,Value_look_up_tables!A101:F123,6,FALSE)</f>
        <v>#N/A</v>
      </c>
      <c r="H95" s="116" t="e">
        <f>VLOOKUP(Nutrients_from_current_land_use!B7,Value_look_up_tables!A101:I123,9,FALSE)</f>
        <v>#N/A</v>
      </c>
      <c r="I95" s="114"/>
      <c r="J95" s="114"/>
      <c r="K95" s="114"/>
      <c r="L95" s="114"/>
      <c r="M95" s="114"/>
    </row>
    <row r="96" spans="1:13" ht="30" x14ac:dyDescent="0.2">
      <c r="A96" s="121" t="s">
        <v>49</v>
      </c>
      <c r="B96" s="121" t="s">
        <v>49</v>
      </c>
      <c r="C96" s="121" t="s">
        <v>49</v>
      </c>
      <c r="D96" s="121" t="s">
        <v>49</v>
      </c>
      <c r="E96" s="114" t="s">
        <v>56</v>
      </c>
      <c r="F96" s="114" t="str">
        <f t="shared" si="7"/>
        <v>|||Commercial/industrial urban land</v>
      </c>
      <c r="G96" s="116" t="e">
        <f>VLOOKUP(Nutrients_from_current_land_use!B7,Value_look_up_tables!A101:G123,7,FALSE)</f>
        <v>#N/A</v>
      </c>
      <c r="H96" s="116" t="e">
        <f>VLOOKUP(Nutrients_from_current_land_use!B7,Value_look_up_tables!A101:K123,10,FALSE)</f>
        <v>#N/A</v>
      </c>
      <c r="I96" s="114"/>
      <c r="J96" s="114"/>
      <c r="K96" s="114"/>
      <c r="L96" s="114"/>
      <c r="M96" s="114"/>
    </row>
    <row r="97" spans="1:13" x14ac:dyDescent="0.2">
      <c r="A97" s="121" t="s">
        <v>49</v>
      </c>
      <c r="B97" s="121" t="s">
        <v>49</v>
      </c>
      <c r="C97" s="121" t="s">
        <v>49</v>
      </c>
      <c r="D97" s="121" t="s">
        <v>49</v>
      </c>
      <c r="E97" s="114" t="s">
        <v>57</v>
      </c>
      <c r="F97" s="114" t="str">
        <f t="shared" si="7"/>
        <v>|||Open urban land</v>
      </c>
      <c r="G97" s="116" t="e">
        <f>VLOOKUP(Nutrients_from_current_land_use!B7,Value_look_up_tables!A101:H123,8,FALSE)</f>
        <v>#N/A</v>
      </c>
      <c r="H97" s="116" t="e">
        <f>VLOOKUP(Nutrients_from_current_land_use!B7,Value_look_up_tables!A101:N123,11,FALSE)</f>
        <v>#N/A</v>
      </c>
      <c r="I97" s="114"/>
      <c r="J97" s="114"/>
      <c r="K97" s="114"/>
      <c r="L97" s="114"/>
      <c r="M97" s="114"/>
    </row>
    <row r="98" spans="1:13" x14ac:dyDescent="0.2">
      <c r="A98" s="114"/>
      <c r="B98" s="114"/>
      <c r="C98" s="114"/>
      <c r="D98" s="114"/>
      <c r="E98" s="114"/>
      <c r="F98" s="114"/>
      <c r="G98" s="116"/>
      <c r="H98" s="116"/>
      <c r="I98" s="114"/>
      <c r="J98" s="114"/>
      <c r="K98" s="114"/>
      <c r="L98" s="114"/>
      <c r="M98" s="114"/>
    </row>
    <row r="99" spans="1:13" ht="43.5" customHeight="1" x14ac:dyDescent="0.2">
      <c r="A99" s="22" t="s">
        <v>58</v>
      </c>
      <c r="B99" s="114"/>
      <c r="C99" s="114"/>
      <c r="D99" s="114"/>
      <c r="E99" s="114"/>
      <c r="F99" s="114"/>
      <c r="G99" s="116"/>
      <c r="H99" s="116"/>
      <c r="I99" s="114"/>
      <c r="J99" s="114"/>
      <c r="K99" s="114"/>
      <c r="L99" s="114"/>
      <c r="M99" s="114"/>
    </row>
    <row r="100" spans="1:13" ht="63" x14ac:dyDescent="0.2">
      <c r="A100" s="117" t="s">
        <v>59</v>
      </c>
      <c r="B100" s="117" t="s">
        <v>60</v>
      </c>
      <c r="C100" s="117" t="s">
        <v>61</v>
      </c>
      <c r="D100" s="117" t="s">
        <v>62</v>
      </c>
      <c r="E100" s="117" t="s">
        <v>63</v>
      </c>
      <c r="F100" s="117" t="s">
        <v>64</v>
      </c>
      <c r="G100" s="117" t="s">
        <v>65</v>
      </c>
      <c r="H100" s="117" t="s">
        <v>66</v>
      </c>
      <c r="I100" s="117" t="s">
        <v>67</v>
      </c>
      <c r="J100" s="117" t="s">
        <v>68</v>
      </c>
      <c r="K100" s="117" t="s">
        <v>69</v>
      </c>
      <c r="L100" s="117"/>
      <c r="M100" s="117"/>
    </row>
    <row r="101" spans="1:13" x14ac:dyDescent="0.2">
      <c r="A101" s="119" t="s">
        <v>70</v>
      </c>
      <c r="B101" s="120">
        <v>516.5</v>
      </c>
      <c r="C101" s="119" t="s">
        <v>71</v>
      </c>
      <c r="D101" s="120">
        <v>47.366326420209788</v>
      </c>
      <c r="E101" s="120">
        <v>63.946326420209786</v>
      </c>
      <c r="F101" s="120">
        <v>1.0030530114375726</v>
      </c>
      <c r="G101" s="120">
        <v>0.73394122788115068</v>
      </c>
      <c r="H101" s="120">
        <v>0.5382235671128438</v>
      </c>
      <c r="I101" s="120">
        <v>9.4130591148709328</v>
      </c>
      <c r="J101" s="120">
        <v>5.0202981945978298</v>
      </c>
      <c r="K101" s="120">
        <v>5.5487506361344439</v>
      </c>
      <c r="L101" s="120"/>
      <c r="M101" s="120"/>
    </row>
    <row r="102" spans="1:13" x14ac:dyDescent="0.2">
      <c r="A102" s="119" t="s">
        <v>72</v>
      </c>
      <c r="B102" s="120">
        <v>537.54999999999995</v>
      </c>
      <c r="C102" s="119" t="s">
        <v>71</v>
      </c>
      <c r="D102" s="120">
        <v>47.605509573313697</v>
      </c>
      <c r="E102" s="120">
        <v>64.185509573313695</v>
      </c>
      <c r="F102" s="120">
        <v>1.049204008516526</v>
      </c>
      <c r="G102" s="120">
        <v>0.76771025013404326</v>
      </c>
      <c r="H102" s="120">
        <v>0.56298751676496517</v>
      </c>
      <c r="I102" s="120">
        <v>9.8333323912734105</v>
      </c>
      <c r="J102" s="120">
        <v>5.2444439420124853</v>
      </c>
      <c r="K102" s="120">
        <v>5.7964906727506413</v>
      </c>
      <c r="L102" s="120"/>
      <c r="M102" s="120"/>
    </row>
    <row r="103" spans="1:13" x14ac:dyDescent="0.2">
      <c r="A103" s="119" t="s">
        <v>73</v>
      </c>
      <c r="B103" s="120">
        <v>562.54999999999995</v>
      </c>
      <c r="C103" s="119" t="s">
        <v>71</v>
      </c>
      <c r="D103" s="120">
        <v>47.8624816470968</v>
      </c>
      <c r="E103" s="120">
        <v>64.442481647096798</v>
      </c>
      <c r="F103" s="120">
        <v>1.1039266010735462</v>
      </c>
      <c r="G103" s="120">
        <v>0.80775117151722908</v>
      </c>
      <c r="H103" s="120">
        <v>0.59235085911263463</v>
      </c>
      <c r="I103" s="120">
        <v>10.331853644413675</v>
      </c>
      <c r="J103" s="120">
        <v>5.5103219436872939</v>
      </c>
      <c r="K103" s="120">
        <v>6.0903558324964822</v>
      </c>
      <c r="L103" s="120"/>
      <c r="M103" s="120"/>
    </row>
    <row r="104" spans="1:13" x14ac:dyDescent="0.2">
      <c r="A104" s="119" t="s">
        <v>74</v>
      </c>
      <c r="B104" s="120">
        <v>587.54999999999995</v>
      </c>
      <c r="C104" s="119" t="s">
        <v>71</v>
      </c>
      <c r="D104" s="120">
        <v>48.089720428979902</v>
      </c>
      <c r="E104" s="120">
        <v>64.6697204289799</v>
      </c>
      <c r="F104" s="120">
        <v>1.1584597247599329</v>
      </c>
      <c r="G104" s="120">
        <v>0.84765345714141427</v>
      </c>
      <c r="H104" s="120">
        <v>0.62161253523703719</v>
      </c>
      <c r="I104" s="120">
        <v>10.829057857843434</v>
      </c>
      <c r="J104" s="120">
        <v>5.775497524183165</v>
      </c>
      <c r="K104" s="120">
        <v>6.3834446319919191</v>
      </c>
      <c r="L104" s="120"/>
      <c r="M104" s="120"/>
    </row>
    <row r="105" spans="1:13" x14ac:dyDescent="0.2">
      <c r="A105" s="119" t="s">
        <v>75</v>
      </c>
      <c r="B105" s="120">
        <v>612.54999999999995</v>
      </c>
      <c r="C105" s="119" t="s">
        <v>76</v>
      </c>
      <c r="D105" s="120">
        <v>48.286892468962989</v>
      </c>
      <c r="E105" s="120">
        <v>64.866892468962988</v>
      </c>
      <c r="F105" s="120">
        <v>1.2127035752563942</v>
      </c>
      <c r="G105" s="120">
        <v>0.88734407945589822</v>
      </c>
      <c r="H105" s="120">
        <v>0.650718991600992</v>
      </c>
      <c r="I105" s="120">
        <v>11.324251269831036</v>
      </c>
      <c r="J105" s="120">
        <v>6.0396006772432189</v>
      </c>
      <c r="K105" s="120">
        <v>6.6753481169530309</v>
      </c>
      <c r="L105" s="120"/>
      <c r="M105" s="120"/>
    </row>
    <row r="106" spans="1:13" x14ac:dyDescent="0.2">
      <c r="A106" s="119" t="s">
        <v>77</v>
      </c>
      <c r="B106" s="120">
        <v>637.54999999999995</v>
      </c>
      <c r="C106" s="119" t="s">
        <v>76</v>
      </c>
      <c r="D106" s="120">
        <v>48.453664317046091</v>
      </c>
      <c r="E106" s="120">
        <v>65.033664317046089</v>
      </c>
      <c r="F106" s="120">
        <v>1.2665569810986419</v>
      </c>
      <c r="G106" s="120">
        <v>0.92674901055998193</v>
      </c>
      <c r="H106" s="120">
        <v>0.67961594107732015</v>
      </c>
      <c r="I106" s="120">
        <v>11.816730615319829</v>
      </c>
      <c r="J106" s="120">
        <v>6.302256328170575</v>
      </c>
      <c r="K106" s="120">
        <v>6.9656517311358979</v>
      </c>
      <c r="L106" s="120"/>
      <c r="M106" s="120"/>
    </row>
    <row r="107" spans="1:13" x14ac:dyDescent="0.2">
      <c r="A107" s="119" t="s">
        <v>78</v>
      </c>
      <c r="B107" s="120">
        <v>662.55</v>
      </c>
      <c r="C107" s="119" t="s">
        <v>76</v>
      </c>
      <c r="D107" s="120">
        <v>48.589702523229192</v>
      </c>
      <c r="E107" s="120">
        <v>65.169702523229191</v>
      </c>
      <c r="F107" s="120">
        <v>1.3199174036773855</v>
      </c>
      <c r="G107" s="120">
        <v>0.96579322220296504</v>
      </c>
      <c r="H107" s="120">
        <v>0.70824836294884108</v>
      </c>
      <c r="I107" s="120">
        <v>12.305783125928167</v>
      </c>
      <c r="J107" s="120">
        <v>6.5630843338283551</v>
      </c>
      <c r="K107" s="120">
        <v>7.2539353163366025</v>
      </c>
      <c r="L107" s="120"/>
      <c r="M107" s="120"/>
    </row>
    <row r="108" spans="1:13" x14ac:dyDescent="0.2">
      <c r="A108" s="119" t="s">
        <v>79</v>
      </c>
      <c r="B108" s="120">
        <v>687.55</v>
      </c>
      <c r="C108" s="119" t="s">
        <v>76</v>
      </c>
      <c r="D108" s="120">
        <v>48.694673637512295</v>
      </c>
      <c r="E108" s="120">
        <v>65.274673637512294</v>
      </c>
      <c r="F108" s="120">
        <v>1.3726809372383346</v>
      </c>
      <c r="G108" s="120">
        <v>1.0044006857841474</v>
      </c>
      <c r="H108" s="120">
        <v>0.73656050290837471</v>
      </c>
      <c r="I108" s="120">
        <v>12.790686529949399</v>
      </c>
      <c r="J108" s="120">
        <v>6.82169948263968</v>
      </c>
      <c r="K108" s="120">
        <v>7.5397731123912237</v>
      </c>
      <c r="L108" s="120"/>
      <c r="M108" s="120"/>
    </row>
    <row r="109" spans="1:13" x14ac:dyDescent="0.2">
      <c r="A109" s="119" t="s">
        <v>80</v>
      </c>
      <c r="B109" s="120">
        <v>725.05</v>
      </c>
      <c r="C109" s="119" t="s">
        <v>34</v>
      </c>
      <c r="D109" s="120">
        <v>48.793150089749446</v>
      </c>
      <c r="E109" s="120">
        <v>65.373150089749444</v>
      </c>
      <c r="F109" s="120">
        <v>1.4504764123754863</v>
      </c>
      <c r="G109" s="120">
        <v>1.0613242041771849</v>
      </c>
      <c r="H109" s="120">
        <v>0.77830441639660242</v>
      </c>
      <c r="I109" s="120">
        <v>13.508658704683258</v>
      </c>
      <c r="J109" s="120">
        <v>7.20461797583107</v>
      </c>
      <c r="K109" s="120">
        <v>7.9629988153922353</v>
      </c>
      <c r="L109" s="120"/>
      <c r="M109" s="120"/>
    </row>
    <row r="110" spans="1:13" x14ac:dyDescent="0.2">
      <c r="A110" s="119" t="s">
        <v>81</v>
      </c>
      <c r="B110" s="120">
        <v>775.05</v>
      </c>
      <c r="C110" s="119" t="s">
        <v>34</v>
      </c>
      <c r="D110" s="120">
        <v>48.817999999999984</v>
      </c>
      <c r="E110" s="120">
        <v>65.397999999999982</v>
      </c>
      <c r="F110" s="120">
        <v>1.5512920268999992</v>
      </c>
      <c r="G110" s="120">
        <v>1.1350917269999994</v>
      </c>
      <c r="H110" s="120">
        <v>0.83240059979999959</v>
      </c>
      <c r="I110" s="120">
        <v>14.445715171499996</v>
      </c>
      <c r="J110" s="120">
        <v>7.7043814247999975</v>
      </c>
      <c r="K110" s="120">
        <v>8.5153689431999986</v>
      </c>
      <c r="L110" s="120"/>
      <c r="M110" s="120"/>
    </row>
    <row r="111" spans="1:13" x14ac:dyDescent="0.2">
      <c r="A111" s="119" t="s">
        <v>82</v>
      </c>
      <c r="B111" s="120">
        <v>825.05</v>
      </c>
      <c r="C111" s="119" t="s">
        <v>34</v>
      </c>
      <c r="D111" s="120">
        <v>48.817999999999984</v>
      </c>
      <c r="E111" s="120">
        <v>65.397999999999982</v>
      </c>
      <c r="F111" s="120">
        <v>1.6513689268999994</v>
      </c>
      <c r="G111" s="120">
        <v>1.2083187269999995</v>
      </c>
      <c r="H111" s="120">
        <v>0.88610039979999966</v>
      </c>
      <c r="I111" s="120">
        <v>15.377636671499994</v>
      </c>
      <c r="J111" s="120">
        <v>8.2014062247999959</v>
      </c>
      <c r="K111" s="120">
        <v>9.064712143199996</v>
      </c>
      <c r="L111" s="120"/>
      <c r="M111" s="120"/>
    </row>
    <row r="112" spans="1:13" x14ac:dyDescent="0.2">
      <c r="A112" s="119" t="s">
        <v>83</v>
      </c>
      <c r="B112" s="120">
        <v>875.05</v>
      </c>
      <c r="C112" s="119" t="s">
        <v>34</v>
      </c>
      <c r="D112" s="120">
        <v>48.817999999999984</v>
      </c>
      <c r="E112" s="120">
        <v>65.397999999999982</v>
      </c>
      <c r="F112" s="120">
        <v>1.7514458268999995</v>
      </c>
      <c r="G112" s="120">
        <v>1.2815457269999997</v>
      </c>
      <c r="H112" s="120">
        <v>0.93980019979999974</v>
      </c>
      <c r="I112" s="120">
        <v>16.309558171499994</v>
      </c>
      <c r="J112" s="120">
        <v>8.6984310247999979</v>
      </c>
      <c r="K112" s="120">
        <v>9.6140553431999969</v>
      </c>
      <c r="L112" s="120"/>
      <c r="M112" s="120"/>
    </row>
    <row r="113" spans="1:13" x14ac:dyDescent="0.2">
      <c r="A113" s="119" t="s">
        <v>84</v>
      </c>
      <c r="B113" s="120">
        <v>925.05</v>
      </c>
      <c r="C113" s="119" t="s">
        <v>38</v>
      </c>
      <c r="D113" s="120">
        <v>48.817999999999984</v>
      </c>
      <c r="E113" s="120">
        <v>65.397999999999982</v>
      </c>
      <c r="F113" s="120">
        <v>1.851522726899999</v>
      </c>
      <c r="G113" s="120">
        <v>1.3547727269999992</v>
      </c>
      <c r="H113" s="120">
        <v>0.99349999979999948</v>
      </c>
      <c r="I113" s="120">
        <v>17.241479671499995</v>
      </c>
      <c r="J113" s="120">
        <v>9.1954558247999962</v>
      </c>
      <c r="K113" s="120">
        <v>10.163398543199996</v>
      </c>
      <c r="L113" s="120"/>
      <c r="M113" s="120"/>
    </row>
    <row r="114" spans="1:13" x14ac:dyDescent="0.2">
      <c r="A114" s="119" t="s">
        <v>85</v>
      </c>
      <c r="B114" s="120">
        <v>975.05</v>
      </c>
      <c r="C114" s="119" t="s">
        <v>38</v>
      </c>
      <c r="D114" s="120">
        <v>48.817999999999984</v>
      </c>
      <c r="E114" s="120">
        <v>65.397999999999982</v>
      </c>
      <c r="F114" s="120">
        <v>1.9515996268999991</v>
      </c>
      <c r="G114" s="120">
        <v>1.4279997269999993</v>
      </c>
      <c r="H114" s="120">
        <v>1.0471997997999996</v>
      </c>
      <c r="I114" s="120">
        <v>18.173401171499993</v>
      </c>
      <c r="J114" s="120">
        <v>9.6924806247999964</v>
      </c>
      <c r="K114" s="120">
        <v>10.712741743199995</v>
      </c>
      <c r="L114" s="120"/>
      <c r="M114" s="120"/>
    </row>
    <row r="115" spans="1:13" x14ac:dyDescent="0.2">
      <c r="A115" s="119" t="s">
        <v>86</v>
      </c>
      <c r="B115" s="120">
        <v>1050.05</v>
      </c>
      <c r="C115" s="119" t="s">
        <v>38</v>
      </c>
      <c r="D115" s="120">
        <v>48.817999999999984</v>
      </c>
      <c r="E115" s="120">
        <v>65.397999999999982</v>
      </c>
      <c r="F115" s="120">
        <v>2.101714976899999</v>
      </c>
      <c r="G115" s="120">
        <v>1.5378402269999993</v>
      </c>
      <c r="H115" s="120">
        <v>1.1277494997999997</v>
      </c>
      <c r="I115" s="120">
        <v>19.571283421499995</v>
      </c>
      <c r="J115" s="120">
        <v>10.438017824799996</v>
      </c>
      <c r="K115" s="120">
        <v>11.536756543199996</v>
      </c>
      <c r="L115" s="120"/>
      <c r="M115" s="120"/>
    </row>
    <row r="116" spans="1:13" x14ac:dyDescent="0.2">
      <c r="A116" s="119" t="s">
        <v>87</v>
      </c>
      <c r="B116" s="120">
        <v>1150.05</v>
      </c>
      <c r="C116" s="119" t="s">
        <v>38</v>
      </c>
      <c r="D116" s="120">
        <v>48.817999999999984</v>
      </c>
      <c r="E116" s="120">
        <v>65.397999999999982</v>
      </c>
      <c r="F116" s="120">
        <v>2.3018687768999988</v>
      </c>
      <c r="G116" s="120">
        <v>1.6842942269999992</v>
      </c>
      <c r="H116" s="120">
        <v>1.2351490997999994</v>
      </c>
      <c r="I116" s="120">
        <v>21.435126421499994</v>
      </c>
      <c r="J116" s="120">
        <v>11.432067424799996</v>
      </c>
      <c r="K116" s="120">
        <v>12.635442943199996</v>
      </c>
      <c r="L116" s="120"/>
      <c r="M116" s="120"/>
    </row>
    <row r="117" spans="1:13" x14ac:dyDescent="0.2">
      <c r="A117" s="119" t="s">
        <v>88</v>
      </c>
      <c r="B117" s="120">
        <v>1300.05</v>
      </c>
      <c r="C117" s="119" t="s">
        <v>89</v>
      </c>
      <c r="D117" s="120">
        <v>48.817999999999984</v>
      </c>
      <c r="E117" s="120">
        <v>65.397999999999982</v>
      </c>
      <c r="F117" s="120">
        <v>2.602099476899999</v>
      </c>
      <c r="G117" s="120">
        <v>1.9039752269999992</v>
      </c>
      <c r="H117" s="120">
        <v>1.3962484997999995</v>
      </c>
      <c r="I117" s="120">
        <v>24.230890921499991</v>
      </c>
      <c r="J117" s="120">
        <v>12.923141824799995</v>
      </c>
      <c r="K117" s="120">
        <v>14.283472543199993</v>
      </c>
      <c r="L117" s="120"/>
      <c r="M117" s="120"/>
    </row>
    <row r="118" spans="1:13" x14ac:dyDescent="0.2">
      <c r="A118" s="119" t="s">
        <v>90</v>
      </c>
      <c r="B118" s="120">
        <v>1500.05</v>
      </c>
      <c r="C118" s="119" t="s">
        <v>89</v>
      </c>
      <c r="D118" s="120">
        <v>48.817999999999984</v>
      </c>
      <c r="E118" s="120">
        <v>65.397999999999982</v>
      </c>
      <c r="F118" s="120">
        <v>3.0024070768999986</v>
      </c>
      <c r="G118" s="120">
        <v>2.1968832269999989</v>
      </c>
      <c r="H118" s="120">
        <v>1.6110476997999994</v>
      </c>
      <c r="I118" s="120">
        <v>27.95857692149999</v>
      </c>
      <c r="J118" s="120">
        <v>14.911241024799995</v>
      </c>
      <c r="K118" s="120">
        <v>16.480845343199995</v>
      </c>
      <c r="L118" s="120"/>
      <c r="M118" s="120"/>
    </row>
    <row r="119" spans="1:13" x14ac:dyDescent="0.2">
      <c r="A119" s="119" t="s">
        <v>91</v>
      </c>
      <c r="B119" s="120">
        <v>1800.05</v>
      </c>
      <c r="C119" s="119" t="s">
        <v>92</v>
      </c>
      <c r="D119" s="120">
        <v>48.817999999999984</v>
      </c>
      <c r="E119" s="120">
        <v>65.397999999999982</v>
      </c>
      <c r="F119" s="120">
        <v>3.6028684768999981</v>
      </c>
      <c r="G119" s="120">
        <v>2.6362452269999985</v>
      </c>
      <c r="H119" s="120">
        <v>1.9332464997999992</v>
      </c>
      <c r="I119" s="120">
        <v>33.550105921499991</v>
      </c>
      <c r="J119" s="120">
        <v>17.893389824799996</v>
      </c>
      <c r="K119" s="120">
        <v>19.776904543199993</v>
      </c>
      <c r="L119" s="120"/>
      <c r="M119" s="120"/>
    </row>
    <row r="120" spans="1:13" x14ac:dyDescent="0.2">
      <c r="A120" s="119" t="s">
        <v>93</v>
      </c>
      <c r="B120" s="120">
        <v>2200.0500000000002</v>
      </c>
      <c r="C120" s="119" t="s">
        <v>92</v>
      </c>
      <c r="D120" s="120">
        <v>48.817999999999984</v>
      </c>
      <c r="E120" s="120">
        <v>65.397999999999982</v>
      </c>
      <c r="F120" s="120">
        <v>4.4034836768999988</v>
      </c>
      <c r="G120" s="120">
        <v>3.2220612269999993</v>
      </c>
      <c r="H120" s="120">
        <v>2.3628448997999998</v>
      </c>
      <c r="I120" s="120">
        <v>41.005477921499988</v>
      </c>
      <c r="J120" s="120">
        <v>21.869588224799994</v>
      </c>
      <c r="K120" s="120">
        <v>24.17165014319999</v>
      </c>
      <c r="L120" s="120"/>
      <c r="M120" s="120"/>
    </row>
    <row r="121" spans="1:13" x14ac:dyDescent="0.2">
      <c r="A121" s="119" t="s">
        <v>94</v>
      </c>
      <c r="B121" s="120">
        <v>2700.05</v>
      </c>
      <c r="C121" s="119" t="s">
        <v>92</v>
      </c>
      <c r="D121" s="120">
        <v>48.817999999999984</v>
      </c>
      <c r="E121" s="120">
        <v>65.397999999999982</v>
      </c>
      <c r="F121" s="120">
        <v>5.4042526768999988</v>
      </c>
      <c r="G121" s="120">
        <v>3.9543312269999986</v>
      </c>
      <c r="H121" s="120">
        <v>2.8998428997999994</v>
      </c>
      <c r="I121" s="120">
        <v>50.324692921499988</v>
      </c>
      <c r="J121" s="120">
        <v>26.839836224799992</v>
      </c>
      <c r="K121" s="120">
        <v>29.665082143199992</v>
      </c>
      <c r="L121" s="120"/>
      <c r="M121" s="120"/>
    </row>
    <row r="122" spans="1:13" x14ac:dyDescent="0.2">
      <c r="A122" s="119" t="s">
        <v>95</v>
      </c>
      <c r="B122" s="120">
        <v>3500.05</v>
      </c>
      <c r="C122" s="119" t="s">
        <v>92</v>
      </c>
      <c r="D122" s="120">
        <v>48.817999999999984</v>
      </c>
      <c r="E122" s="120">
        <v>65.397999999999982</v>
      </c>
      <c r="F122" s="120">
        <v>7.0054830768999983</v>
      </c>
      <c r="G122" s="120">
        <v>5.1259632269999988</v>
      </c>
      <c r="H122" s="120">
        <v>3.7590396997999993</v>
      </c>
      <c r="I122" s="120">
        <v>65.235436921499982</v>
      </c>
      <c r="J122" s="120">
        <v>34.792233024799991</v>
      </c>
      <c r="K122" s="120">
        <v>38.454573343199982</v>
      </c>
      <c r="L122" s="120"/>
      <c r="M122" s="120"/>
    </row>
    <row r="123" spans="1:13" x14ac:dyDescent="0.2">
      <c r="A123" s="119" t="s">
        <v>96</v>
      </c>
      <c r="B123" s="120">
        <v>4750.05</v>
      </c>
      <c r="C123" s="119" t="s">
        <v>92</v>
      </c>
      <c r="D123" s="120">
        <v>48.817999999999984</v>
      </c>
      <c r="E123" s="120">
        <v>65.397999999999982</v>
      </c>
      <c r="F123" s="120">
        <v>9.5074055768999965</v>
      </c>
      <c r="G123" s="120">
        <v>6.9566382269999973</v>
      </c>
      <c r="H123" s="120">
        <v>5.1015346997999984</v>
      </c>
      <c r="I123" s="120">
        <v>88.533474421499989</v>
      </c>
      <c r="J123" s="120">
        <v>47.217853024799986</v>
      </c>
      <c r="K123" s="120">
        <v>52.188153343199986</v>
      </c>
      <c r="L123" s="120"/>
      <c r="M123" s="120"/>
    </row>
    <row r="124" spans="1:13" x14ac:dyDescent="0.2">
      <c r="A124" s="114"/>
      <c r="B124" s="114"/>
      <c r="C124" s="114"/>
      <c r="D124" s="114"/>
      <c r="E124" s="114"/>
      <c r="F124" s="114"/>
      <c r="G124" s="116"/>
      <c r="H124" s="116"/>
      <c r="I124" s="114"/>
      <c r="J124" s="114"/>
      <c r="K124" s="114"/>
      <c r="L124" s="114"/>
      <c r="M124" s="114"/>
    </row>
    <row r="125" spans="1:13" ht="42.75" customHeight="1" x14ac:dyDescent="0.2">
      <c r="A125" s="22" t="s">
        <v>97</v>
      </c>
      <c r="B125" s="114"/>
      <c r="C125" s="114"/>
      <c r="D125" s="114"/>
      <c r="F125" s="114"/>
      <c r="H125" s="116"/>
      <c r="J125" s="114"/>
      <c r="K125" s="114"/>
      <c r="L125" s="114"/>
      <c r="M125" s="114"/>
    </row>
    <row r="126" spans="1:13" ht="31.5" x14ac:dyDescent="0.2">
      <c r="A126" s="117" t="s">
        <v>100</v>
      </c>
      <c r="B126" s="117" t="s">
        <v>101</v>
      </c>
      <c r="C126" s="114"/>
      <c r="D126" s="114"/>
      <c r="F126" s="114"/>
      <c r="H126" s="116"/>
      <c r="J126" s="114"/>
      <c r="K126" s="114"/>
      <c r="L126" s="114"/>
      <c r="M126" s="114"/>
    </row>
    <row r="127" spans="1:13" x14ac:dyDescent="0.2">
      <c r="A127" s="114" t="s">
        <v>32</v>
      </c>
      <c r="B127" s="114" t="s">
        <v>32</v>
      </c>
      <c r="C127" s="114"/>
      <c r="D127" s="114"/>
      <c r="F127" s="114"/>
      <c r="H127" s="116"/>
      <c r="J127" s="114"/>
      <c r="K127" s="114"/>
      <c r="L127" s="114"/>
      <c r="M127" s="114"/>
    </row>
    <row r="128" spans="1:13" x14ac:dyDescent="0.2">
      <c r="A128" s="114"/>
      <c r="B128" s="114"/>
      <c r="C128" s="114"/>
      <c r="D128" s="114"/>
      <c r="F128" s="114"/>
      <c r="H128" s="116"/>
      <c r="I128" s="114"/>
      <c r="J128" s="114"/>
      <c r="K128" s="114"/>
      <c r="L128" s="114"/>
      <c r="M128" s="114"/>
    </row>
    <row r="129" spans="1:13" ht="47.25" customHeight="1" x14ac:dyDescent="0.2">
      <c r="A129" s="22" t="s">
        <v>104</v>
      </c>
      <c r="B129" s="114"/>
      <c r="C129" s="114"/>
      <c r="D129" s="114"/>
      <c r="F129" s="119"/>
      <c r="H129" s="114"/>
      <c r="I129" s="114"/>
      <c r="J129" s="114"/>
      <c r="K129" s="114"/>
      <c r="L129" s="114"/>
      <c r="M129" s="114"/>
    </row>
    <row r="130" spans="1:13" ht="31.5" x14ac:dyDescent="0.2">
      <c r="A130" s="117" t="s">
        <v>105</v>
      </c>
      <c r="B130" s="117" t="s">
        <v>106</v>
      </c>
      <c r="C130" s="117" t="s">
        <v>107</v>
      </c>
      <c r="D130" s="114"/>
      <c r="F130" s="114"/>
      <c r="H130" s="114"/>
      <c r="I130" s="114"/>
      <c r="J130" s="114"/>
      <c r="K130" s="114"/>
      <c r="L130" s="114"/>
      <c r="M130" s="114"/>
    </row>
    <row r="131" spans="1:13" x14ac:dyDescent="0.2">
      <c r="A131" s="118" t="s">
        <v>108</v>
      </c>
      <c r="B131" s="114" t="s">
        <v>35</v>
      </c>
      <c r="C131" s="114" t="s">
        <v>109</v>
      </c>
      <c r="D131" s="114"/>
      <c r="F131" s="114"/>
      <c r="H131" s="114"/>
      <c r="I131" s="114"/>
      <c r="J131" s="114"/>
      <c r="K131" s="114"/>
      <c r="L131" s="114"/>
      <c r="M131" s="114"/>
    </row>
    <row r="132" spans="1:13" ht="30" x14ac:dyDescent="0.2">
      <c r="A132" s="118" t="s">
        <v>110</v>
      </c>
      <c r="B132" s="114" t="s">
        <v>36</v>
      </c>
      <c r="C132" s="114" t="s">
        <v>111</v>
      </c>
      <c r="D132" s="114"/>
      <c r="F132" s="114"/>
      <c r="H132" s="114"/>
      <c r="I132" s="114"/>
      <c r="J132" s="114"/>
      <c r="K132" s="114"/>
      <c r="L132" s="114"/>
      <c r="M132" s="114"/>
    </row>
    <row r="133" spans="1:13" ht="45" x14ac:dyDescent="0.2">
      <c r="A133" s="118" t="s">
        <v>113</v>
      </c>
      <c r="B133" s="114" t="s">
        <v>37</v>
      </c>
      <c r="C133" s="114" t="s">
        <v>114</v>
      </c>
      <c r="D133" s="114"/>
      <c r="F133" s="114"/>
      <c r="H133" s="114"/>
      <c r="I133" s="114"/>
      <c r="J133" s="114"/>
      <c r="K133" s="114"/>
      <c r="L133" s="114"/>
      <c r="M133" s="114"/>
    </row>
    <row r="134" spans="1:13" ht="30" x14ac:dyDescent="0.2">
      <c r="A134" s="114" t="s">
        <v>115</v>
      </c>
      <c r="B134" s="114" t="s">
        <v>36</v>
      </c>
      <c r="C134" s="114" t="s">
        <v>111</v>
      </c>
      <c r="D134" s="114"/>
      <c r="F134" s="114"/>
      <c r="H134" s="114"/>
      <c r="I134" s="114"/>
      <c r="J134" s="114"/>
      <c r="K134" s="114"/>
      <c r="L134" s="114"/>
      <c r="M134" s="114"/>
    </row>
    <row r="135" spans="1:13" ht="30" x14ac:dyDescent="0.2">
      <c r="A135" s="114" t="s">
        <v>116</v>
      </c>
      <c r="B135" s="114" t="s">
        <v>36</v>
      </c>
      <c r="C135" s="114" t="s">
        <v>111</v>
      </c>
      <c r="D135" s="114"/>
      <c r="F135" s="114"/>
      <c r="H135" s="114"/>
      <c r="I135" s="115"/>
      <c r="J135" s="114"/>
      <c r="K135" s="114"/>
      <c r="L135" s="114"/>
      <c r="M135" s="114"/>
    </row>
    <row r="136" spans="1:13" ht="30" x14ac:dyDescent="0.2">
      <c r="A136" s="118" t="s">
        <v>117</v>
      </c>
      <c r="B136" s="114" t="s">
        <v>36</v>
      </c>
      <c r="C136" s="114" t="s">
        <v>111</v>
      </c>
      <c r="D136" s="114"/>
      <c r="F136" s="114"/>
      <c r="H136" s="114"/>
      <c r="I136" s="115"/>
      <c r="J136" s="114"/>
      <c r="K136" s="114"/>
      <c r="L136" s="114"/>
      <c r="M136" s="114"/>
    </row>
    <row r="137" spans="1:13" x14ac:dyDescent="0.2">
      <c r="A137" s="114"/>
      <c r="B137" s="116"/>
      <c r="C137" s="114"/>
      <c r="D137" s="114"/>
      <c r="F137" s="114"/>
      <c r="H137" s="114"/>
      <c r="I137" s="115"/>
      <c r="J137" s="114"/>
      <c r="K137" s="114"/>
      <c r="L137" s="114"/>
      <c r="M137" s="114"/>
    </row>
    <row r="138" spans="1:13" ht="50.25" customHeight="1" x14ac:dyDescent="0.2">
      <c r="A138" s="22" t="s">
        <v>118</v>
      </c>
      <c r="B138" s="116"/>
      <c r="C138" s="114"/>
      <c r="D138" s="114"/>
      <c r="F138" s="114"/>
      <c r="H138" s="114"/>
      <c r="I138" s="115"/>
      <c r="J138" s="114"/>
      <c r="K138" s="114"/>
      <c r="L138" s="114"/>
      <c r="M138" s="114"/>
    </row>
    <row r="139" spans="1:13" ht="31.5" x14ac:dyDescent="0.2">
      <c r="A139" s="112" t="s">
        <v>21</v>
      </c>
      <c r="B139" s="112" t="s">
        <v>101</v>
      </c>
      <c r="C139" s="114"/>
      <c r="D139" s="114"/>
      <c r="F139" s="114"/>
      <c r="H139" s="114"/>
      <c r="I139" s="114"/>
      <c r="J139" s="114"/>
      <c r="K139" s="114"/>
      <c r="L139" s="114"/>
      <c r="M139" s="114"/>
    </row>
    <row r="140" spans="1:13" x14ac:dyDescent="0.2">
      <c r="A140" s="114" t="s">
        <v>119</v>
      </c>
      <c r="B140" s="116" t="b">
        <v>1</v>
      </c>
      <c r="C140" s="114"/>
      <c r="D140" s="114"/>
      <c r="F140" s="114"/>
      <c r="H140" s="114"/>
      <c r="I140" s="114"/>
      <c r="J140" s="114"/>
      <c r="K140" s="114"/>
      <c r="L140" s="114"/>
      <c r="M140" s="114"/>
    </row>
    <row r="141" spans="1:13" x14ac:dyDescent="0.2">
      <c r="A141" s="114" t="s">
        <v>120</v>
      </c>
      <c r="B141" s="116" t="b">
        <v>0</v>
      </c>
      <c r="C141" s="114"/>
      <c r="D141" s="114"/>
      <c r="F141" s="114"/>
      <c r="H141" s="114"/>
      <c r="I141" s="114"/>
      <c r="J141" s="114"/>
      <c r="K141" s="114"/>
      <c r="L141" s="114"/>
      <c r="M141" s="114"/>
    </row>
    <row r="142" spans="1:13" x14ac:dyDescent="0.2">
      <c r="A142" s="114"/>
      <c r="B142" s="116"/>
      <c r="C142" s="116"/>
      <c r="D142" s="114"/>
      <c r="F142" s="114"/>
    </row>
    <row r="143" spans="1:13" ht="44.25" customHeight="1" x14ac:dyDescent="0.2">
      <c r="A143" s="22" t="s">
        <v>98</v>
      </c>
      <c r="B143" s="116"/>
      <c r="C143" s="116"/>
      <c r="D143" s="114"/>
    </row>
    <row r="144" spans="1:13" ht="15.75" x14ac:dyDescent="0.2">
      <c r="A144" s="112" t="s">
        <v>102</v>
      </c>
      <c r="D144" s="114"/>
    </row>
    <row r="145" spans="1:8" x14ac:dyDescent="0.2">
      <c r="A145" s="114" t="s">
        <v>33</v>
      </c>
      <c r="D145" s="114"/>
      <c r="E145" s="114"/>
      <c r="F145" s="114"/>
      <c r="G145" s="116"/>
      <c r="H145" s="116"/>
    </row>
    <row r="146" spans="1:8" x14ac:dyDescent="0.2">
      <c r="A146" s="114" t="s">
        <v>39</v>
      </c>
      <c r="D146" s="114"/>
      <c r="E146" s="114"/>
      <c r="F146" s="114"/>
      <c r="G146" s="116"/>
      <c r="H146" s="116"/>
    </row>
    <row r="147" spans="1:8" x14ac:dyDescent="0.2">
      <c r="A147" s="114" t="s">
        <v>40</v>
      </c>
      <c r="D147" s="114"/>
      <c r="E147" s="114"/>
      <c r="F147" s="114"/>
      <c r="G147" s="116"/>
      <c r="H147" s="116"/>
    </row>
    <row r="148" spans="1:8" x14ac:dyDescent="0.2">
      <c r="A148" s="114" t="s">
        <v>46</v>
      </c>
      <c r="D148" s="114"/>
      <c r="E148" s="114"/>
      <c r="F148" s="114"/>
      <c r="G148" s="116"/>
      <c r="H148" s="116"/>
    </row>
    <row r="149" spans="1:8" x14ac:dyDescent="0.2">
      <c r="A149" s="114" t="s">
        <v>41</v>
      </c>
      <c r="D149" s="114"/>
      <c r="E149" s="114"/>
      <c r="F149" s="114"/>
      <c r="G149" s="116"/>
      <c r="H149" s="116"/>
    </row>
    <row r="150" spans="1:8" x14ac:dyDescent="0.2">
      <c r="A150" s="114" t="s">
        <v>42</v>
      </c>
      <c r="D150" s="114"/>
      <c r="E150" s="114"/>
      <c r="F150" s="114"/>
      <c r="G150" s="116"/>
      <c r="H150" s="116"/>
    </row>
    <row r="151" spans="1:8" x14ac:dyDescent="0.2">
      <c r="A151" s="114" t="s">
        <v>112</v>
      </c>
      <c r="D151" s="114"/>
      <c r="E151" s="114"/>
      <c r="F151" s="114"/>
      <c r="G151" s="116"/>
      <c r="H151" s="116"/>
    </row>
    <row r="152" spans="1:8" x14ac:dyDescent="0.2">
      <c r="A152" s="114" t="s">
        <v>43</v>
      </c>
      <c r="D152" s="114"/>
      <c r="E152" s="114"/>
      <c r="F152" s="114"/>
      <c r="G152" s="116"/>
      <c r="H152" s="116"/>
    </row>
    <row r="153" spans="1:8" x14ac:dyDescent="0.2">
      <c r="A153" s="114" t="s">
        <v>44</v>
      </c>
      <c r="D153" s="114"/>
      <c r="E153" s="114"/>
      <c r="F153" s="114"/>
      <c r="G153" s="116"/>
      <c r="H153" s="116"/>
    </row>
    <row r="154" spans="1:8" x14ac:dyDescent="0.2">
      <c r="A154" s="115" t="s">
        <v>50</v>
      </c>
      <c r="D154" s="114"/>
      <c r="E154" s="114"/>
      <c r="F154" s="114"/>
      <c r="G154" s="116"/>
      <c r="H154" s="116"/>
    </row>
    <row r="155" spans="1:8" x14ac:dyDescent="0.2">
      <c r="A155" s="115" t="s">
        <v>52</v>
      </c>
      <c r="D155" s="114"/>
      <c r="E155" s="114"/>
      <c r="F155" s="114"/>
      <c r="G155" s="116"/>
      <c r="H155" s="116"/>
    </row>
    <row r="156" spans="1:8" x14ac:dyDescent="0.2">
      <c r="A156" s="115" t="s">
        <v>53</v>
      </c>
      <c r="D156" s="114"/>
      <c r="E156" s="114"/>
      <c r="F156" s="114"/>
      <c r="G156" s="116"/>
      <c r="H156" s="116"/>
    </row>
    <row r="157" spans="1:8" x14ac:dyDescent="0.2">
      <c r="A157" s="115" t="s">
        <v>54</v>
      </c>
      <c r="D157" s="114"/>
      <c r="E157" s="114"/>
      <c r="F157" s="114"/>
      <c r="G157" s="116"/>
      <c r="H157" s="116"/>
    </row>
    <row r="158" spans="1:8" x14ac:dyDescent="0.2">
      <c r="A158" s="114" t="s">
        <v>55</v>
      </c>
      <c r="D158" s="114"/>
      <c r="E158" s="114"/>
      <c r="F158" s="114"/>
      <c r="G158" s="116"/>
      <c r="H158" s="116"/>
    </row>
    <row r="159" spans="1:8" x14ac:dyDescent="0.2">
      <c r="A159" s="114" t="s">
        <v>56</v>
      </c>
      <c r="D159" s="114"/>
      <c r="E159" s="114"/>
      <c r="F159" s="114"/>
      <c r="G159" s="116"/>
      <c r="H159" s="116"/>
    </row>
    <row r="160" spans="1:8" x14ac:dyDescent="0.2">
      <c r="A160" s="114" t="s">
        <v>57</v>
      </c>
      <c r="D160" s="114"/>
      <c r="E160" s="114"/>
      <c r="F160" s="114"/>
      <c r="G160" s="116"/>
      <c r="H160" s="116"/>
    </row>
    <row r="161" spans="1:8" x14ac:dyDescent="0.2">
      <c r="A161" s="113" t="s">
        <v>51</v>
      </c>
      <c r="D161" s="114"/>
      <c r="E161" s="114"/>
      <c r="F161" s="114"/>
      <c r="G161" s="116"/>
      <c r="H161" s="116"/>
    </row>
    <row r="163" spans="1:8" ht="46.5" customHeight="1" x14ac:dyDescent="0.2">
      <c r="A163" s="22" t="s">
        <v>99</v>
      </c>
    </row>
    <row r="164" spans="1:8" ht="15.75" x14ac:dyDescent="0.2">
      <c r="A164" s="112" t="s">
        <v>103</v>
      </c>
    </row>
    <row r="165" spans="1:8" x14ac:dyDescent="0.2">
      <c r="A165" s="114" t="s">
        <v>33</v>
      </c>
    </row>
    <row r="166" spans="1:8" x14ac:dyDescent="0.2">
      <c r="A166" s="114" t="s">
        <v>39</v>
      </c>
    </row>
    <row r="167" spans="1:8" x14ac:dyDescent="0.2">
      <c r="A167" s="114" t="s">
        <v>40</v>
      </c>
    </row>
    <row r="168" spans="1:8" x14ac:dyDescent="0.2">
      <c r="A168" s="114" t="s">
        <v>46</v>
      </c>
    </row>
    <row r="169" spans="1:8" x14ac:dyDescent="0.2">
      <c r="A169" s="114" t="s">
        <v>41</v>
      </c>
    </row>
    <row r="170" spans="1:8" x14ac:dyDescent="0.2">
      <c r="A170" s="114" t="s">
        <v>42</v>
      </c>
    </row>
    <row r="171" spans="1:8" x14ac:dyDescent="0.2">
      <c r="A171" s="114" t="s">
        <v>43</v>
      </c>
    </row>
    <row r="172" spans="1:8" x14ac:dyDescent="0.2">
      <c r="A172" s="114" t="s">
        <v>44</v>
      </c>
    </row>
    <row r="173" spans="1:8" x14ac:dyDescent="0.2">
      <c r="A173" s="115" t="s">
        <v>50</v>
      </c>
    </row>
    <row r="174" spans="1:8" x14ac:dyDescent="0.2">
      <c r="A174" s="115" t="s">
        <v>52</v>
      </c>
    </row>
    <row r="175" spans="1:8" x14ac:dyDescent="0.2">
      <c r="A175" s="115" t="s">
        <v>53</v>
      </c>
    </row>
    <row r="176" spans="1:8" x14ac:dyDescent="0.2">
      <c r="A176" s="115" t="s">
        <v>54</v>
      </c>
    </row>
    <row r="177" spans="1:1" x14ac:dyDescent="0.2">
      <c r="A177" s="114" t="s">
        <v>55</v>
      </c>
    </row>
    <row r="178" spans="1:1" x14ac:dyDescent="0.2">
      <c r="A178" s="114" t="s">
        <v>56</v>
      </c>
    </row>
    <row r="179" spans="1:1" x14ac:dyDescent="0.2">
      <c r="A179" s="114" t="s">
        <v>57</v>
      </c>
    </row>
    <row r="180" spans="1:1" x14ac:dyDescent="0.2">
      <c r="A180" s="114" t="s">
        <v>51</v>
      </c>
    </row>
    <row r="182" spans="1:1" ht="26.25" customHeight="1" x14ac:dyDescent="0.2">
      <c r="A182" s="22" t="s">
        <v>217</v>
      </c>
    </row>
    <row r="183" spans="1:1" ht="15.75" x14ac:dyDescent="0.2">
      <c r="A183" s="112" t="s">
        <v>203</v>
      </c>
    </row>
    <row r="184" spans="1:1" x14ac:dyDescent="0.2">
      <c r="A184" s="114" t="e" cm="1" vm="1">
        <f t="array" ref="A184">_xlfn._xlws.SORT(_xlfn.UNIQUE(_xlfn._xlws.FILTER(Nutrients_from_future_land_use!$A$5:$A$21,Nutrients_from_future_land_use!$A$5:$A$21&lt;&gt;"")))</f>
        <v>#VALUE!</v>
      </c>
    </row>
  </sheetData>
  <sheetProtection algorithmName="SHA-512" hashValue="LnAJ0M1zukP58vLwZOwAhHmsFouk4OGR72g8xjYkB/YG/bhKkmVRBp7HFOOrCuMpb0x41eprUbCq5Z00dQUgkQ==" saltValue="f2LUk9CI1Nzp4j801e7SXQ==" spinCount="100000" sheet="1" objects="1" scenarios="1"/>
  <phoneticPr fontId="3" type="noConversion"/>
  <dataValidations count="1">
    <dataValidation allowBlank="1" showInputMessage="1" showErrorMessage="1" prompt="This value is dependent on the rainfall volume." sqref="G95:H97 G91:H91" xr:uid="{531D2639-E1CD-4714-9D53-CBF5CF1C1961}"/>
  </dataValidations>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Strategic solutions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9</Value>
      <Value>15</Value>
      <Value>3</Value>
      <Value>2</Value>
      <Value>1</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Team xmlns="662745e8-e224-48e8-a2e3-254862b8c2f5">Natural England Programmes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2.xml>��< ? x m l   v e r s i o n = " 1 . 0 "   e n c o d i n g = " u t f - 1 6 " ? > < D a t a M a s h u p   x m l n s = " h t t p : / / s c h e m a s . m i c r o s o f t . c o m / D a t a M a s h u p " > A A A A A B Y D A A B Q S w M E F A A C A A g A h o U 7 V 5 2 8 U U + m A A A A 9 w A A A B I A H A B D b 2 5 m a W c v U G F j a 2 F n Z S 5 4 b W w g o h g A K K A U A A A A A A A A A A A A A A A A A A A A A A A A A A A A h Y + 9 C s I w H M R f p W R v v u o g J U 1 B B x c L g i C u I c Y 2 2 P 4 r T W r 6 b g 4 + k q 9 g R a t u j n f 3 O 7 i 7 X 2 8 i H 5 o 6 u p j O 2 R Y y x D B F k Q H d H i y U G e r 9 M Z 6 j X I q N 0 i d V m m i E w a W D s x m q v D + n h I Q Q c E h w 2 5 W E U 8 r I v l h v d W U a F V t w X o E 2 6 N M 6 / G 8 h K X a v M Z J j x m a Y c 5 5 g K s j k i s L C l + D j 4 G f 6 Y 4 p l X / u + M 9 J A v F o I M k l B 3 i f k A 1 B L A w Q U A A I A C A C G h T t 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o U 7 V y i K R 7 g O A A A A E Q A A A B M A H A B G b 3 J t d W x h c y 9 T Z W N 0 a W 9 u M S 5 t I K I Y A C i g F A A A A A A A A A A A A A A A A A A A A A A A A A A A A C t O T S 7 J z M 9 T C I b Q h t Y A U E s B A i 0 A F A A C A A g A h o U 7 V 5 2 8 U U + m A A A A 9 w A A A B I A A A A A A A A A A A A A A A A A A A A A A E N v b m Z p Z y 9 Q Y W N r Y W d l L n h t b F B L A Q I t A B Q A A g A I A I a F O 1 c P y u m r p A A A A O k A A A A T A A A A A A A A A A A A A A A A A P I A A A B b Q 2 9 u d G V u d F 9 U e X B l c 1 0 u e G 1 s U E s B A i 0 A F A A C A A g A h o U 7 V 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w e K y V Y z 8 t D j N D i w j Z x H C M A A A A A A g A A A A A A A 2 Y A A M A A A A A Q A A A A s X D 2 Y q k v n m 5 B q U I r Q U c 8 R g A A A A A E g A A A o A A A A B A A A A D 0 5 f A V 2 9 u a / n 3 P M i I a 9 + f i U A A A A A E 3 Z K l W 1 L D I R 5 S l l g B l p 6 2 T c c T u + e S t x O L E I 3 S T V b c v U Q f L D V N 1 m I m J 5 0 Y q g Q d T J E f a b f u m g z N M c j L + y h 6 R g m c F 5 e p C 7 X D e k x F D x Q g N h C L s F A A A A O e O l U c Z T K h 9 p w V m j L p i a d P 0 X B E V < / D a t a M a s h u p > 
</file>

<file path=customXml/item3.xml><?xml version="1.0" encoding="utf-8"?>
<?mso-contentType ?>
<SharedContentType xmlns="Microsoft.SharePoint.Taxonomy.ContentTypeSync" SourceId="d1117845-93f6-4da3-abaa-fcb4fa669c78" ContentTypeId="0x010100A5BF1C78D9F64B679A5EBDE1C6598EBC01" PreviousValue="false" LastSyncTimeStamp="2022-12-23T12:39:58.22Z"/>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1084BA893BFA0746879A3D9878F52A4C" ma:contentTypeVersion="15" ma:contentTypeDescription="Create a new document." ma:contentTypeScope="" ma:versionID="9d5aac7d4c263efcb02f64726a175397">
  <xsd:schema xmlns:xsd="http://www.w3.org/2001/XMLSchema" xmlns:xs="http://www.w3.org/2001/XMLSchema" xmlns:p="http://schemas.microsoft.com/office/2006/metadata/properties" xmlns:ns2="662745e8-e224-48e8-a2e3-254862b8c2f5" xmlns:ns3="eadf615d-60bf-4100-8f9d-b3b6b1afcaac" xmlns:ns4="1b0cf190-34a4-46df-8e99-7b7b75534f8a" targetNamespace="http://schemas.microsoft.com/office/2006/metadata/properties" ma:root="true" ma:fieldsID="e13de7b255ec8016b2d8e9e105a2f3ee" ns2:_="" ns3:_="" ns4:_="">
    <xsd:import namespace="662745e8-e224-48e8-a2e3-254862b8c2f5"/>
    <xsd:import namespace="eadf615d-60bf-4100-8f9d-b3b6b1afcaac"/>
    <xsd:import namespace="1b0cf190-34a4-46df-8e99-7b7b75534f8a"/>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4:SharedWithUsers" minOccurs="0"/>
                <xsd:element ref="ns4: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2;#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db2e875-4c0e-4f0a-ad47-7f03d630799f}" ma:internalName="TaxCatchAll" ma:showField="CatchAllData" ma:web="1b0cf190-34a4-46df-8e99-7b7b75534f8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db2e875-4c0e-4f0a-ad47-7f03d630799f}" ma:internalName="TaxCatchAllLabel" ma:readOnly="true" ma:showField="CatchAllDataLabel" ma:web="1b0cf190-34a4-46df-8e99-7b7b75534f8a">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1;#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9;#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Strategic Solutions" ma:internalName="Team">
      <xsd:simpleType>
        <xsd:restriction base="dms:Text"/>
      </xsd:simpleType>
    </xsd:element>
    <xsd:element name="Topic" ma:index="20" nillable="true" ma:displayName="Topic" ma:default="SST File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8;#Internal NE|70a74972-c838-4a08-aeb8-2c6aad14b4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3;#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adf615d-60bf-4100-8f9d-b3b6b1afcaac"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DateTaken" ma:index="28" nillable="true" ma:displayName="MediaServiceDateTaken" ma:hidden="true" ma:indexed="true" ma:internalName="MediaServiceDateTaken"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0cf190-34a4-46df-8e99-7b7b75534f8a"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6A12FC-BB1B-4E54-B358-BBABDD5105C6}">
  <ds:schemaRefs>
    <ds:schemaRef ds:uri="http://purl.org/dc/terms/"/>
    <ds:schemaRef ds:uri="http://schemas.microsoft.com/office/2006/documentManagement/types"/>
    <ds:schemaRef ds:uri="50608f39-3744-4f2b-8ddf-6077ea9dcf84"/>
    <ds:schemaRef ds:uri="http://schemas.microsoft.com/office/infopath/2007/PartnerControls"/>
    <ds:schemaRef ds:uri="http://schemas.openxmlformats.org/package/2006/metadata/core-properties"/>
    <ds:schemaRef ds:uri="http://purl.org/dc/elements/1.1/"/>
    <ds:schemaRef ds:uri="41b1b97e-58d0-4f82-aacc-4a7d6fa43521"/>
    <ds:schemaRef ds:uri="http://schemas.microsoft.com/office/2006/metadata/properties"/>
    <ds:schemaRef ds:uri="662745e8-e224-48e8-a2e3-254862b8c2f5"/>
    <ds:schemaRef ds:uri="http://www.w3.org/XML/1998/namespace"/>
    <ds:schemaRef ds:uri="http://purl.org/dc/dcmitype/"/>
  </ds:schemaRefs>
</ds:datastoreItem>
</file>

<file path=customXml/itemProps2.xml><?xml version="1.0" encoding="utf-8"?>
<ds:datastoreItem xmlns:ds="http://schemas.openxmlformats.org/officeDocument/2006/customXml" ds:itemID="{A6870AF0-BC99-4EE0-9479-825860D2F995}">
  <ds:schemaRefs>
    <ds:schemaRef ds:uri="http://schemas.microsoft.com/DataMashup"/>
  </ds:schemaRefs>
</ds:datastoreItem>
</file>

<file path=customXml/itemProps3.xml><?xml version="1.0" encoding="utf-8"?>
<ds:datastoreItem xmlns:ds="http://schemas.openxmlformats.org/officeDocument/2006/customXml" ds:itemID="{710B7B34-BAFA-44BC-9733-02FC35A4DB99}"/>
</file>

<file path=customXml/itemProps4.xml><?xml version="1.0" encoding="utf-8"?>
<ds:datastoreItem xmlns:ds="http://schemas.openxmlformats.org/officeDocument/2006/customXml" ds:itemID="{64C1BBF9-9B3E-4827-BF16-821C5036B885}">
  <ds:schemaRefs>
    <ds:schemaRef ds:uri="http://schemas.microsoft.com/sharepoint/v3/contenttype/forms"/>
  </ds:schemaRefs>
</ds:datastoreItem>
</file>

<file path=customXml/itemProps5.xml><?xml version="1.0" encoding="utf-8"?>
<ds:datastoreItem xmlns:ds="http://schemas.openxmlformats.org/officeDocument/2006/customXml" ds:itemID="{FD3A722D-A4A1-4FB8-8467-262B4074FD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About_the_calculator</vt:lpstr>
      <vt:lpstr>Nutrients_from_wastewater</vt:lpstr>
      <vt:lpstr>Nutrients_from_current_land_use</vt:lpstr>
      <vt:lpstr>Nutrients_from_future_land_use</vt:lpstr>
      <vt:lpstr>SuDS</vt:lpstr>
      <vt:lpstr>Final_nutrient_budgets</vt:lpstr>
      <vt:lpstr>Value_look_up_tables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Sealy, Declan</dc:creator>
  <cp:keywords/>
  <dc:description/>
  <cp:lastModifiedBy>Sealy, Declan</cp:lastModifiedBy>
  <cp:revision/>
  <dcterms:created xsi:type="dcterms:W3CDTF">2021-10-14T13:24:34Z</dcterms:created>
  <dcterms:modified xsi:type="dcterms:W3CDTF">2024-01-26T10:23:58Z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0x010100A5BF1C78D9F64B679A5EBDE1C6598EBC01001084BA893BFA0746879A3D9878F52A4C</vt:lpwstr>
  </property>
  <property fmtid="{D5CDD505-2E9C-101B-9397-08002B2CF9AE}" pid="3" name="HOGovernmentSecurityClassification">
    <vt:lpwstr>2;#Official|14c80daa-741b-422c-9722-f71693c9ede4</vt:lpwstr>
  </property>
  <property fmtid="{D5CDD505-2E9C-101B-9397-08002B2CF9AE}" pid="4" name="InformationType">
    <vt:lpwstr/>
  </property>
  <property fmtid="{D5CDD505-2E9C-101B-9397-08002B2CF9AE}" pid="5" name="HOSiteType">
    <vt:lpwstr>9;#Team|ff0485df-0575-416f-802f-e999165821b7</vt:lpwstr>
  </property>
  <property fmtid="{D5CDD505-2E9C-101B-9397-08002B2CF9AE}" pid="6" name="Distribution">
    <vt:lpwstr>15;#Internal Defra Group|0867f7b3-e76e-40ca-bb1f-5ba341a49230</vt:lpwstr>
  </property>
  <property fmtid="{D5CDD505-2E9C-101B-9397-08002B2CF9AE}" pid="7" name="OrganisationalUnit">
    <vt:lpwstr>3;#NE|275df9ce-cd92-4318-adfe-db572e51c7ff</vt:lpwstr>
  </property>
  <property fmtid="{D5CDD505-2E9C-101B-9397-08002B2CF9AE}" pid="8" name="HOCopyrightLevel">
    <vt:lpwstr>1;#Crown|69589897-2828-4761-976e-717fd8e631c9</vt:lpwstr>
  </property>
</Properties>
</file>